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N:\JPG\Investor Reporting\Paragon Finance\FF7\"/>
    </mc:Choice>
  </mc:AlternateContent>
  <bookViews>
    <workbookView xWindow="1908" yWindow="348" windowWidth="24132" windowHeight="12048" firstSheet="39" activeTab="48"/>
  </bookViews>
  <sheets>
    <sheet name="May 07" sheetId="1" r:id="rId1"/>
    <sheet name="Aug 07" sheetId="2" r:id="rId2"/>
    <sheet name="Nov 07" sheetId="3" r:id="rId3"/>
    <sheet name="February 08" sheetId="4" r:id="rId4"/>
    <sheet name="May 08" sheetId="5" r:id="rId5"/>
    <sheet name="Aug 08" sheetId="6" r:id="rId6"/>
    <sheet name="Nov 08" sheetId="7" r:id="rId7"/>
    <sheet name="Feb 09" sheetId="8" r:id="rId8"/>
    <sheet name="May 09" sheetId="9" r:id="rId9"/>
    <sheet name="Aug 09" sheetId="10" r:id="rId10"/>
    <sheet name="Nov 09" sheetId="11" r:id="rId11"/>
    <sheet name="Feb 10" sheetId="12" r:id="rId12"/>
    <sheet name="May 10" sheetId="13" r:id="rId13"/>
    <sheet name="Aug 10" sheetId="14" r:id="rId14"/>
    <sheet name="Nov 10" sheetId="15" r:id="rId15"/>
    <sheet name="Feb 11" sheetId="16" r:id="rId16"/>
    <sheet name="May 11" sheetId="17" r:id="rId17"/>
    <sheet name="Aug 11" sheetId="18" r:id="rId18"/>
    <sheet name="Nov 11" sheetId="19" r:id="rId19"/>
    <sheet name="Feb 12" sheetId="20" r:id="rId20"/>
    <sheet name="May 12" sheetId="21" r:id="rId21"/>
    <sheet name="Aug 12" sheetId="22" r:id="rId22"/>
    <sheet name="Nov 12" sheetId="23" r:id="rId23"/>
    <sheet name="Feb 13" sheetId="24" r:id="rId24"/>
    <sheet name="May 13" sheetId="25" r:id="rId25"/>
    <sheet name="Aug 13" sheetId="26" r:id="rId26"/>
    <sheet name="Nov 13" sheetId="27" r:id="rId27"/>
    <sheet name="Feb 14" sheetId="28" r:id="rId28"/>
    <sheet name="May 14" sheetId="29" r:id="rId29"/>
    <sheet name="August 14" sheetId="30" r:id="rId30"/>
    <sheet name="Nov 14" sheetId="31" r:id="rId31"/>
    <sheet name="Feb 15" sheetId="32" r:id="rId32"/>
    <sheet name="May 15" sheetId="33" r:id="rId33"/>
    <sheet name="Aug 15" sheetId="34" r:id="rId34"/>
    <sheet name="Nov 15" sheetId="35" r:id="rId35"/>
    <sheet name="Feb 16" sheetId="36" r:id="rId36"/>
    <sheet name="May 16" sheetId="37" r:id="rId37"/>
    <sheet name="Aug 16" sheetId="38" r:id="rId38"/>
    <sheet name="Nov 16" sheetId="39" r:id="rId39"/>
    <sheet name="Feb 17" sheetId="40" r:id="rId40"/>
    <sheet name="May 17" sheetId="41" r:id="rId41"/>
    <sheet name="Aug 17" sheetId="42" r:id="rId42"/>
    <sheet name="Nov 17" sheetId="43" r:id="rId43"/>
    <sheet name="Feb 18" sheetId="44" r:id="rId44"/>
    <sheet name="May 18" sheetId="45" r:id="rId45"/>
    <sheet name="Aug 18" sheetId="46" r:id="rId46"/>
    <sheet name="Nov 18" sheetId="47" r:id="rId47"/>
    <sheet name="Feb 19" sheetId="48" r:id="rId48"/>
    <sheet name="May 19" sheetId="49" r:id="rId49"/>
  </sheets>
  <definedNames>
    <definedName name="_100PAGE_4" localSheetId="24">'May 13'!$A$183:$O$298</definedName>
    <definedName name="_101PAGE_4" localSheetId="2">'Nov 07'!$A$184:$O$282</definedName>
    <definedName name="_102PAGE_4" localSheetId="6">'Nov 08'!$A$184:$O$282</definedName>
    <definedName name="_103PAGE_4" localSheetId="10">'Nov 09'!$A$184:$O$282</definedName>
    <definedName name="_104PAGE_4" localSheetId="14">'Nov 10'!$A$183:$O$298</definedName>
    <definedName name="_105PAGE_4" localSheetId="18">'Nov 11'!$A$183:$O$298</definedName>
    <definedName name="_106PAGE_4" localSheetId="22">'Nov 12'!$A$183:$O$298</definedName>
    <definedName name="_107PAGE_4" localSheetId="33">'Aug 15'!$A$183:$O$298</definedName>
    <definedName name="_107PAGE_4" localSheetId="37">'Aug 16'!$A$183:$O$298</definedName>
    <definedName name="_107PAGE_4" localSheetId="41">'Aug 17'!$A$183:$O$297</definedName>
    <definedName name="_107PAGE_4" localSheetId="45">'Aug 18'!$A$183:$O$297</definedName>
    <definedName name="_107PAGE_4" localSheetId="29">'August 14'!$A$183:$O$298</definedName>
    <definedName name="_107PAGE_4" localSheetId="27">'Feb 14'!$A$183:$O$298</definedName>
    <definedName name="_107PAGE_4" localSheetId="31">'Feb 15'!$A$183:$O$298</definedName>
    <definedName name="_107PAGE_4" localSheetId="35">'Feb 16'!$A$183:$O$298</definedName>
    <definedName name="_107PAGE_4" localSheetId="39">'Feb 17'!$A$183:$O$297</definedName>
    <definedName name="_107PAGE_4" localSheetId="43">'Feb 18'!$A$183:$O$297</definedName>
    <definedName name="_107PAGE_4" localSheetId="47">'Feb 19'!$A$183:$O$297</definedName>
    <definedName name="_107PAGE_4" localSheetId="28">'May 14'!$A$183:$O$298</definedName>
    <definedName name="_107PAGE_4" localSheetId="32">'May 15'!$A$183:$O$298</definedName>
    <definedName name="_107PAGE_4" localSheetId="36">'May 16'!$A$183:$O$298</definedName>
    <definedName name="_107PAGE_4" localSheetId="40">'May 17'!$A$183:$O$297</definedName>
    <definedName name="_107PAGE_4" localSheetId="44">'May 18'!$A$183:$O$297</definedName>
    <definedName name="_107PAGE_4" localSheetId="48">'May 19'!$A$185:$O$299</definedName>
    <definedName name="_107PAGE_4" localSheetId="26">'Nov 13'!$A$183:$O$298</definedName>
    <definedName name="_107PAGE_4" localSheetId="30">'Nov 14'!$A$183:$O$298</definedName>
    <definedName name="_107PAGE_4" localSheetId="34">'Nov 15'!$A$183:$O$298</definedName>
    <definedName name="_107PAGE_4" localSheetId="38">'Nov 16'!$A$183:$O$298</definedName>
    <definedName name="_107PAGE_4" localSheetId="42">'Nov 17'!$A$183:$O$297</definedName>
    <definedName name="_107PAGE_4" localSheetId="46">'Nov 18'!$A$183:$O$297</definedName>
    <definedName name="_108PAGE_4">'May 07'!$A$183:$O$280</definedName>
    <definedName name="_10PAGE_1" localSheetId="15">'Feb 11'!$A$1:$O$52</definedName>
    <definedName name="_11PAGE_1" localSheetId="19">'Feb 12'!$A$1:$O$52</definedName>
    <definedName name="_12PAGE_1" localSheetId="23">'Feb 13'!$A$1:$O$52</definedName>
    <definedName name="_13PAGE_1" localSheetId="3">'February 08'!$A$1:$O$52</definedName>
    <definedName name="_14PAGE_1" localSheetId="4">'May 08'!$A$1:$O$52</definedName>
    <definedName name="_15PAGE_1" localSheetId="8">'May 09'!$A$1:$O$52</definedName>
    <definedName name="_16PAGE_1" localSheetId="12">'May 10'!$A$1:$O$52</definedName>
    <definedName name="_17PAGE_1" localSheetId="16">'May 11'!$A$1:$O$52</definedName>
    <definedName name="_18PAGE_1" localSheetId="20">'May 12'!$A$1:$O$52</definedName>
    <definedName name="_19PAGE_1" localSheetId="24">'May 13'!$A$1:$O$52</definedName>
    <definedName name="_1PAGE_1" localSheetId="1">'Aug 07'!$A$1:$O$52</definedName>
    <definedName name="_20PAGE_1" localSheetId="2">'Nov 07'!$A$1:$O$52</definedName>
    <definedName name="_21PAGE_1" localSheetId="6">'Nov 08'!$A$1:$O$52</definedName>
    <definedName name="_22PAGE_1" localSheetId="10">'Nov 09'!$A$1:$O$52</definedName>
    <definedName name="_23PAGE_1" localSheetId="14">'Nov 10'!$A$1:$O$52</definedName>
    <definedName name="_24PAGE_1" localSheetId="18">'Nov 11'!$A$1:$O$52</definedName>
    <definedName name="_25PAGE_1" localSheetId="22">'Nov 12'!$A$1:$O$52</definedName>
    <definedName name="_26PAGE_1" localSheetId="33">'Aug 15'!$A$1:$O$52</definedName>
    <definedName name="_26PAGE_1" localSheetId="37">'Aug 16'!$A$1:$O$52</definedName>
    <definedName name="_26PAGE_1" localSheetId="41">'Aug 17'!$A$1:$O$52</definedName>
    <definedName name="_26PAGE_1" localSheetId="45">'Aug 18'!$A$1:$O$52</definedName>
    <definedName name="_26PAGE_1" localSheetId="29">'August 14'!$A$1:$O$52</definedName>
    <definedName name="_26PAGE_1" localSheetId="27">'Feb 14'!$A$1:$O$52</definedName>
    <definedName name="_26PAGE_1" localSheetId="31">'Feb 15'!$A$1:$O$52</definedName>
    <definedName name="_26PAGE_1" localSheetId="35">'Feb 16'!$A$1:$O$52</definedName>
    <definedName name="_26PAGE_1" localSheetId="39">'Feb 17'!$A$1:$O$52</definedName>
    <definedName name="_26PAGE_1" localSheetId="43">'Feb 18'!$A$1:$O$52</definedName>
    <definedName name="_26PAGE_1" localSheetId="47">'Feb 19'!$A$1:$O$52</definedName>
    <definedName name="_26PAGE_1" localSheetId="28">'May 14'!$A$1:$O$52</definedName>
    <definedName name="_26PAGE_1" localSheetId="32">'May 15'!$A$1:$O$52</definedName>
    <definedName name="_26PAGE_1" localSheetId="36">'May 16'!$A$1:$O$52</definedName>
    <definedName name="_26PAGE_1" localSheetId="40">'May 17'!$A$1:$O$52</definedName>
    <definedName name="_26PAGE_1" localSheetId="44">'May 18'!$A$1:$O$52</definedName>
    <definedName name="_26PAGE_1" localSheetId="48">'May 19'!$A$1:$O$52</definedName>
    <definedName name="_26PAGE_1" localSheetId="26">'Nov 13'!$A$1:$O$52</definedName>
    <definedName name="_26PAGE_1" localSheetId="30">'Nov 14'!$A$1:$O$52</definedName>
    <definedName name="_26PAGE_1" localSheetId="34">'Nov 15'!$A$1:$O$52</definedName>
    <definedName name="_26PAGE_1" localSheetId="38">'Nov 16'!$A$1:$O$52</definedName>
    <definedName name="_26PAGE_1" localSheetId="42">'Nov 17'!$A$1:$O$52</definedName>
    <definedName name="_26PAGE_1" localSheetId="46">'Nov 18'!$A$1:$O$52</definedName>
    <definedName name="_27PAGE_1">'May 07'!$A$1:$O$52</definedName>
    <definedName name="_28PAGE_2" localSheetId="1">'Aug 07'!$A$53:$O$115</definedName>
    <definedName name="_29PAGE_2" localSheetId="5">'Aug 08'!$A$53:$O$116</definedName>
    <definedName name="_2PAGE_1" localSheetId="5">'Aug 08'!$A$1:$O$52</definedName>
    <definedName name="_30PAGE_2" localSheetId="9">'Aug 09'!$A$53:$O$116</definedName>
    <definedName name="_31PAGE_2" localSheetId="13">'Aug 10'!$A$53:$O$115</definedName>
    <definedName name="_32PAGE_2" localSheetId="17">'Aug 11'!$A$53:$O$115</definedName>
    <definedName name="_33PAGE_2" localSheetId="21">'Aug 12'!$A$53:$O$115</definedName>
    <definedName name="_34PAGE_2" localSheetId="25">'Aug 13'!$A$53:$O$115</definedName>
    <definedName name="_35PAGE_2" localSheetId="7">'Feb 09'!$A$53:$O$116</definedName>
    <definedName name="_36PAGE_2" localSheetId="11">'Feb 10'!$A$53:$O$116</definedName>
    <definedName name="_37PAGE_2" localSheetId="15">'Feb 11'!$A$53:$O$115</definedName>
    <definedName name="_38PAGE_2" localSheetId="19">'Feb 12'!$A$53:$O$115</definedName>
    <definedName name="_39PAGE_2" localSheetId="23">'Feb 13'!$A$53:$O$115</definedName>
    <definedName name="_3PAGE_1" localSheetId="9">'Aug 09'!$A$1:$O$52</definedName>
    <definedName name="_40PAGE_2" localSheetId="3">'February 08'!$A$53:$O$116</definedName>
    <definedName name="_41PAGE_2" localSheetId="4">'May 08'!$A$53:$O$116</definedName>
    <definedName name="_42PAGE_2" localSheetId="8">'May 09'!$A$53:$O$116</definedName>
    <definedName name="_43PAGE_2" localSheetId="12">'May 10'!$A$53:$O$115</definedName>
    <definedName name="_44PAGE_2" localSheetId="16">'May 11'!$A$53:$O$115</definedName>
    <definedName name="_45PAGE_2" localSheetId="20">'May 12'!$A$53:$O$115</definedName>
    <definedName name="_46PAGE_2" localSheetId="24">'May 13'!$A$53:$O$115</definedName>
    <definedName name="_47PAGE_2" localSheetId="2">'Nov 07'!$A$53:$O$116</definedName>
    <definedName name="_48PAGE_2" localSheetId="6">'Nov 08'!$A$53:$O$116</definedName>
    <definedName name="_49PAGE_2" localSheetId="10">'Nov 09'!$A$53:$O$116</definedName>
    <definedName name="_4PAGE_1" localSheetId="13">'Aug 10'!$A$1:$O$52</definedName>
    <definedName name="_50PAGE_2" localSheetId="14">'Nov 10'!$A$53:$O$115</definedName>
    <definedName name="_51PAGE_2" localSheetId="18">'Nov 11'!$A$53:$O$115</definedName>
    <definedName name="_52PAGE_2" localSheetId="22">'Nov 12'!$A$53:$O$115</definedName>
    <definedName name="_53PAGE_2" localSheetId="33">'Aug 15'!$A$53:$O$115</definedName>
    <definedName name="_53PAGE_2" localSheetId="37">'Aug 16'!$A$53:$O$115</definedName>
    <definedName name="_53PAGE_2" localSheetId="41">'Aug 17'!$A$53:$O$115</definedName>
    <definedName name="_53PAGE_2" localSheetId="45">'Aug 18'!$A$53:$O$115</definedName>
    <definedName name="_53PAGE_2" localSheetId="29">'August 14'!$A$53:$O$115</definedName>
    <definedName name="_53PAGE_2" localSheetId="27">'Feb 14'!$A$53:$O$115</definedName>
    <definedName name="_53PAGE_2" localSheetId="31">'Feb 15'!$A$53:$O$115</definedName>
    <definedName name="_53PAGE_2" localSheetId="35">'Feb 16'!$A$53:$O$115</definedName>
    <definedName name="_53PAGE_2" localSheetId="39">'Feb 17'!$A$53:$O$115</definedName>
    <definedName name="_53PAGE_2" localSheetId="43">'Feb 18'!$A$53:$O$115</definedName>
    <definedName name="_53PAGE_2" localSheetId="47">'Feb 19'!$A$53:$O$115</definedName>
    <definedName name="_53PAGE_2" localSheetId="28">'May 14'!$A$53:$O$115</definedName>
    <definedName name="_53PAGE_2" localSheetId="32">'May 15'!$A$53:$O$115</definedName>
    <definedName name="_53PAGE_2" localSheetId="36">'May 16'!$A$53:$O$115</definedName>
    <definedName name="_53PAGE_2" localSheetId="40">'May 17'!$A$53:$O$115</definedName>
    <definedName name="_53PAGE_2" localSheetId="44">'May 18'!$A$53:$O$115</definedName>
    <definedName name="_53PAGE_2" localSheetId="48">'May 19'!$A$53:$O$116</definedName>
    <definedName name="_53PAGE_2" localSheetId="26">'Nov 13'!$A$53:$O$115</definedName>
    <definedName name="_53PAGE_2" localSheetId="30">'Nov 14'!$A$53:$O$115</definedName>
    <definedName name="_53PAGE_2" localSheetId="34">'Nov 15'!$A$53:$O$115</definedName>
    <definedName name="_53PAGE_2" localSheetId="38">'Nov 16'!$A$53:$O$115</definedName>
    <definedName name="_53PAGE_2" localSheetId="42">'Nov 17'!$A$53:$O$115</definedName>
    <definedName name="_53PAGE_2" localSheetId="46">'Nov 18'!$A$53:$O$115</definedName>
    <definedName name="_54PAGE_2">'May 07'!$A$53:$O$115</definedName>
    <definedName name="_55PAGE_3" localSheetId="1">'Aug 07'!$A$116:$O$182</definedName>
    <definedName name="_56PAGE_3" localSheetId="5">'Aug 08'!$A$117:$O$183</definedName>
    <definedName name="_57PAGE_3" localSheetId="9">'Aug 09'!$A$117:$O$183</definedName>
    <definedName name="_58PAGE_3" localSheetId="13">'Aug 10'!$A$116:$O$182</definedName>
    <definedName name="_59PAGE_3" localSheetId="17">'Aug 11'!$A$116:$O$182</definedName>
    <definedName name="_5PAGE_1" localSheetId="17">'Aug 11'!$A$1:$O$52</definedName>
    <definedName name="_60PAGE_3" localSheetId="21">'Aug 12'!$A$116:$O$182</definedName>
    <definedName name="_61PAGE_3" localSheetId="25">'Aug 13'!$A$116:$O$182</definedName>
    <definedName name="_62PAGE_3" localSheetId="7">'Feb 09'!$A$117:$O$183</definedName>
    <definedName name="_63PAGE_3" localSheetId="11">'Feb 10'!$A$117:$O$183</definedName>
    <definedName name="_64PAGE_3" localSheetId="15">'Feb 11'!$A$116:$O$182</definedName>
    <definedName name="_65PAGE_3" localSheetId="19">'Feb 12'!$A$116:$O$182</definedName>
    <definedName name="_66PAGE_3" localSheetId="23">'Feb 13'!$A$116:$O$182</definedName>
    <definedName name="_67PAGE_3" localSheetId="3">'February 08'!$A$117:$O$183</definedName>
    <definedName name="_68PAGE_3" localSheetId="4">'May 08'!$A$117:$O$183</definedName>
    <definedName name="_69PAGE_3" localSheetId="8">'May 09'!$A$117:$O$183</definedName>
    <definedName name="_6PAGE_1" localSheetId="21">'Aug 12'!$A$1:$O$52</definedName>
    <definedName name="_70PAGE_3" localSheetId="12">'May 10'!$A$116:$O$182</definedName>
    <definedName name="_71PAGE_3" localSheetId="16">'May 11'!$A$116:$O$182</definedName>
    <definedName name="_72PAGE_3" localSheetId="20">'May 12'!$A$116:$O$182</definedName>
    <definedName name="_73PAGE_3" localSheetId="24">'May 13'!$A$116:$O$182</definedName>
    <definedName name="_74PAGE_3" localSheetId="2">'Nov 07'!$A$117:$O$183</definedName>
    <definedName name="_75PAGE_3" localSheetId="6">'Nov 08'!$A$117:$O$183</definedName>
    <definedName name="_76PAGE_3" localSheetId="10">'Nov 09'!$A$117:$O$183</definedName>
    <definedName name="_77PAGE_3" localSheetId="14">'Nov 10'!$A$116:$O$182</definedName>
    <definedName name="_78PAGE_3" localSheetId="18">'Nov 11'!$A$116:$O$182</definedName>
    <definedName name="_79PAGE_3" localSheetId="22">'Nov 12'!$A$116:$O$182</definedName>
    <definedName name="_7PAGE_1" localSheetId="25">'Aug 13'!$A$1:$O$52</definedName>
    <definedName name="_80PAGE_3" localSheetId="33">'Aug 15'!$A$116:$O$182</definedName>
    <definedName name="_80PAGE_3" localSheetId="37">'Aug 16'!$A$116:$O$182</definedName>
    <definedName name="_80PAGE_3" localSheetId="41">'Aug 17'!$A$116:$O$182</definedName>
    <definedName name="_80PAGE_3" localSheetId="45">'Aug 18'!$A$116:$O$182</definedName>
    <definedName name="_80PAGE_3" localSheetId="29">'August 14'!$A$116:$O$182</definedName>
    <definedName name="_80PAGE_3" localSheetId="27">'Feb 14'!$A$116:$O$182</definedName>
    <definedName name="_80PAGE_3" localSheetId="31">'Feb 15'!$A$116:$O$182</definedName>
    <definedName name="_80PAGE_3" localSheetId="35">'Feb 16'!$A$116:$O$182</definedName>
    <definedName name="_80PAGE_3" localSheetId="39">'Feb 17'!$A$116:$O$182</definedName>
    <definedName name="_80PAGE_3" localSheetId="43">'Feb 18'!$A$116:$O$182</definedName>
    <definedName name="_80PAGE_3" localSheetId="47">'Feb 19'!$A$116:$O$182</definedName>
    <definedName name="_80PAGE_3" localSheetId="28">'May 14'!$A$116:$O$182</definedName>
    <definedName name="_80PAGE_3" localSheetId="32">'May 15'!$A$116:$O$182</definedName>
    <definedName name="_80PAGE_3" localSheetId="36">'May 16'!$A$116:$O$182</definedName>
    <definedName name="_80PAGE_3" localSheetId="40">'May 17'!$A$116:$O$182</definedName>
    <definedName name="_80PAGE_3" localSheetId="44">'May 18'!$A$116:$O$182</definedName>
    <definedName name="_80PAGE_3" localSheetId="48">'May 19'!$A$117:$O$184</definedName>
    <definedName name="_80PAGE_3" localSheetId="26">'Nov 13'!$A$116:$O$182</definedName>
    <definedName name="_80PAGE_3" localSheetId="30">'Nov 14'!$A$116:$O$182</definedName>
    <definedName name="_80PAGE_3" localSheetId="34">'Nov 15'!$A$116:$O$182</definedName>
    <definedName name="_80PAGE_3" localSheetId="38">'Nov 16'!$A$116:$O$182</definedName>
    <definedName name="_80PAGE_3" localSheetId="42">'Nov 17'!$A$116:$O$182</definedName>
    <definedName name="_80PAGE_3" localSheetId="46">'Nov 18'!$A$116:$O$182</definedName>
    <definedName name="_81PAGE_3">'May 07'!$A$116:$O$182</definedName>
    <definedName name="_82PAGE_4" localSheetId="1">'Aug 07'!$A$183:$O$281</definedName>
    <definedName name="_83PAGE_4" localSheetId="5">'Aug 08'!$A$184:$O$282</definedName>
    <definedName name="_84PAGE_4" localSheetId="9">'Aug 09'!$A$184:$O$282</definedName>
    <definedName name="_85PAGE_4" localSheetId="13">'Aug 10'!$A$183:$O$298</definedName>
    <definedName name="_86PAGE_4" localSheetId="17">'Aug 11'!$A$183:$O$298</definedName>
    <definedName name="_87PAGE_4" localSheetId="21">'Aug 12'!$A$183:$O$298</definedName>
    <definedName name="_88PAGE_4" localSheetId="25">'Aug 13'!$A$183:$O$298</definedName>
    <definedName name="_89PAGE_4" localSheetId="7">'Feb 09'!$A$184:$O$282</definedName>
    <definedName name="_8PAGE_1" localSheetId="7">'Feb 09'!$A$1:$O$52</definedName>
    <definedName name="_90PAGE_4" localSheetId="11">'Feb 10'!$A$184:$O$282</definedName>
    <definedName name="_91PAGE_4" localSheetId="15">'Feb 11'!$A$183:$O$298</definedName>
    <definedName name="_92PAGE_4" localSheetId="19">'Feb 12'!$A$183:$O$298</definedName>
    <definedName name="_93PAGE_4" localSheetId="23">'Feb 13'!$A$183:$O$298</definedName>
    <definedName name="_94PAGE_4" localSheetId="3">'February 08'!$A$184:$O$282</definedName>
    <definedName name="_95PAGE_4" localSheetId="4">'May 08'!$A$184:$O$282</definedName>
    <definedName name="_96PAGE_4" localSheetId="8">'May 09'!$A$184:$O$282</definedName>
    <definedName name="_97PAGE_4" localSheetId="12">'May 10'!$A$183:$O$281</definedName>
    <definedName name="_98PAGE_4" localSheetId="16">'May 11'!$A$183:$O$298</definedName>
    <definedName name="_99PAGE_4" localSheetId="20">'May 12'!$A$183:$O$298</definedName>
    <definedName name="_9PAGE_1" localSheetId="11">'Feb 10'!$A$1:$O$52</definedName>
    <definedName name="_xlnm.Print_Area" localSheetId="1">'Aug 07'!$A$1:$P$282</definedName>
    <definedName name="_xlnm.Print_Area" localSheetId="5">'Aug 08'!$A$1:$P$283</definedName>
    <definedName name="_xlnm.Print_Area" localSheetId="9">'Aug 09'!$A$1:$P$283</definedName>
    <definedName name="_xlnm.Print_Area" localSheetId="13">'Aug 10'!$A$1:$P$299</definedName>
    <definedName name="_xlnm.Print_Area" localSheetId="17">'Aug 11'!$A$1:$P$299</definedName>
    <definedName name="_xlnm.Print_Area" localSheetId="21">'Aug 12'!$A$1:$P$299</definedName>
    <definedName name="_xlnm.Print_Area" localSheetId="25">'Aug 13'!$A$1:$P$299</definedName>
    <definedName name="_xlnm.Print_Area" localSheetId="33">'Aug 15'!$A$1:$O$299</definedName>
    <definedName name="_xlnm.Print_Area" localSheetId="37">'Aug 16'!$A$1:$O$299</definedName>
    <definedName name="_xlnm.Print_Area" localSheetId="41">'Aug 17'!$A$1:$O$298</definedName>
    <definedName name="_xlnm.Print_Area" localSheetId="45">'Aug 18'!$A$1:$O$298</definedName>
    <definedName name="_xlnm.Print_Area" localSheetId="29">'August 14'!$A$1:$P$299</definedName>
    <definedName name="_xlnm.Print_Area" localSheetId="7">'Feb 09'!$A$1:$P$283</definedName>
    <definedName name="_xlnm.Print_Area" localSheetId="11">'Feb 10'!$A$1:$P$283</definedName>
    <definedName name="_xlnm.Print_Area" localSheetId="15">'Feb 11'!$A$1:$P$299</definedName>
    <definedName name="_xlnm.Print_Area" localSheetId="19">'Feb 12'!$A$1:$P$299</definedName>
    <definedName name="_xlnm.Print_Area" localSheetId="23">'Feb 13'!$A$1:$P$299</definedName>
    <definedName name="_xlnm.Print_Area" localSheetId="27">'Feb 14'!$A$1:$P$299</definedName>
    <definedName name="_xlnm.Print_Area" localSheetId="31">'Feb 15'!$A$1:$O$299</definedName>
    <definedName name="_xlnm.Print_Area" localSheetId="35">'Feb 16'!$A$1:$O$299</definedName>
    <definedName name="_xlnm.Print_Area" localSheetId="39">'Feb 17'!$A$1:$O$298</definedName>
    <definedName name="_xlnm.Print_Area" localSheetId="43">'Feb 18'!$A$1:$O$298</definedName>
    <definedName name="_xlnm.Print_Area" localSheetId="47">'Feb 19'!$A$1:$O$298</definedName>
    <definedName name="_xlnm.Print_Area" localSheetId="3">'February 08'!$A$1:$P$283</definedName>
    <definedName name="_xlnm.Print_Area" localSheetId="0">'May 07'!$A$1:$P$281</definedName>
    <definedName name="_xlnm.Print_Area" localSheetId="4">'May 08'!$A$1:$P$283</definedName>
    <definedName name="_xlnm.Print_Area" localSheetId="8">'May 09'!$A$1:$P$283</definedName>
    <definedName name="_xlnm.Print_Area" localSheetId="12">'May 10'!$A$1:$P$282</definedName>
    <definedName name="_xlnm.Print_Area" localSheetId="16">'May 11'!$A$1:$P$299</definedName>
    <definedName name="_xlnm.Print_Area" localSheetId="20">'May 12'!$A$1:$P$299</definedName>
    <definedName name="_xlnm.Print_Area" localSheetId="24">'May 13'!$A$1:$P$299</definedName>
    <definedName name="_xlnm.Print_Area" localSheetId="28">'May 14'!$A$1:$P$299</definedName>
    <definedName name="_xlnm.Print_Area" localSheetId="32">'May 15'!$A$1:$O$299</definedName>
    <definedName name="_xlnm.Print_Area" localSheetId="36">'May 16'!$A$1:$O$299</definedName>
    <definedName name="_xlnm.Print_Area" localSheetId="40">'May 17'!$A$1:$O$298</definedName>
    <definedName name="_xlnm.Print_Area" localSheetId="44">'May 18'!$A$1:$O$298</definedName>
    <definedName name="_xlnm.Print_Area" localSheetId="48">'May 19'!$A$1:$O$300</definedName>
    <definedName name="_xlnm.Print_Area" localSheetId="2">'Nov 07'!$A$1:$P$283</definedName>
    <definedName name="_xlnm.Print_Area" localSheetId="6">'Nov 08'!$A$1:$P$283</definedName>
    <definedName name="_xlnm.Print_Area" localSheetId="10">'Nov 09'!$A$1:$P$283</definedName>
    <definedName name="_xlnm.Print_Area" localSheetId="14">'Nov 10'!$A$1:$P$299</definedName>
    <definedName name="_xlnm.Print_Area" localSheetId="18">'Nov 11'!$A$1:$P$299</definedName>
    <definedName name="_xlnm.Print_Area" localSheetId="22">'Nov 12'!$A$1:$P$299</definedName>
    <definedName name="_xlnm.Print_Area" localSheetId="26">'Nov 13'!$A$1:$P$299</definedName>
    <definedName name="_xlnm.Print_Area" localSheetId="30">'Nov 14'!$A$1:$P$299</definedName>
    <definedName name="_xlnm.Print_Area" localSheetId="34">'Nov 15'!$A$1:$O$299</definedName>
    <definedName name="_xlnm.Print_Area" localSheetId="38">'Nov 16'!$A$1:$O$299</definedName>
    <definedName name="_xlnm.Print_Area" localSheetId="42">'Nov 17'!$A$1:$O$298</definedName>
    <definedName name="_xlnm.Print_Area" localSheetId="46">'Nov 18'!$A$1:$O$298</definedName>
    <definedName name="_xlnm.Print_Area">'May 07'!$A$1:$O$52</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72" i="49" l="1"/>
  <c r="N68" i="47"/>
  <c r="N29" i="49" l="1"/>
  <c r="N34" i="49"/>
  <c r="N87" i="49" l="1"/>
  <c r="N160" i="49" l="1"/>
  <c r="N88" i="49"/>
  <c r="N92" i="49"/>
  <c r="N78" i="49"/>
  <c r="M288" i="49" l="1"/>
  <c r="L288" i="49"/>
  <c r="L205" i="49" s="1"/>
  <c r="K288" i="49"/>
  <c r="J288" i="49"/>
  <c r="M271" i="49"/>
  <c r="L271" i="49"/>
  <c r="L204" i="49" s="1"/>
  <c r="K271" i="49"/>
  <c r="J271" i="49"/>
  <c r="L254" i="49"/>
  <c r="J254" i="49"/>
  <c r="M254" i="49"/>
  <c r="J235" i="49"/>
  <c r="J234" i="49"/>
  <c r="J233" i="49"/>
  <c r="J232" i="49"/>
  <c r="J231" i="49"/>
  <c r="J230" i="49"/>
  <c r="J229" i="49"/>
  <c r="J228" i="49"/>
  <c r="J227" i="49"/>
  <c r="J226" i="49"/>
  <c r="J225" i="49"/>
  <c r="J224" i="49"/>
  <c r="L237" i="49"/>
  <c r="J223" i="49"/>
  <c r="L209" i="49"/>
  <c r="K205" i="49"/>
  <c r="K204" i="49"/>
  <c r="L199" i="49"/>
  <c r="L189" i="49"/>
  <c r="K170" i="49"/>
  <c r="N169" i="49"/>
  <c r="L169" i="49"/>
  <c r="N149" i="49"/>
  <c r="N148" i="49"/>
  <c r="N147" i="49"/>
  <c r="N130" i="49"/>
  <c r="N120" i="49"/>
  <c r="B116" i="49"/>
  <c r="B184" i="49" s="1"/>
  <c r="B299" i="49" s="1"/>
  <c r="L112" i="49"/>
  <c r="L99" i="49"/>
  <c r="A99" i="49"/>
  <c r="A100" i="49" s="1"/>
  <c r="A101" i="49" s="1"/>
  <c r="A102" i="49" s="1"/>
  <c r="A103" i="49" s="1"/>
  <c r="A104" i="49" s="1"/>
  <c r="A105" i="49" s="1"/>
  <c r="A91" i="49"/>
  <c r="A92" i="49" s="1"/>
  <c r="L85" i="49"/>
  <c r="N84" i="49"/>
  <c r="L83" i="49"/>
  <c r="L88" i="49" s="1"/>
  <c r="F75" i="49"/>
  <c r="N70" i="49"/>
  <c r="N69" i="49"/>
  <c r="L59" i="49"/>
  <c r="J59" i="49"/>
  <c r="H59" i="49"/>
  <c r="F59" i="49"/>
  <c r="D59" i="49"/>
  <c r="D72" i="49" s="1"/>
  <c r="N57" i="49"/>
  <c r="N68" i="49" s="1"/>
  <c r="N56" i="49"/>
  <c r="J47" i="49"/>
  <c r="J46" i="49"/>
  <c r="N40" i="49"/>
  <c r="H30" i="49"/>
  <c r="F30" i="49"/>
  <c r="D30" i="49"/>
  <c r="H29" i="49"/>
  <c r="F29" i="49"/>
  <c r="D29" i="49"/>
  <c r="N28" i="49"/>
  <c r="N42" i="49" s="1"/>
  <c r="L192" i="49" l="1"/>
  <c r="L290" i="49"/>
  <c r="N59" i="49"/>
  <c r="N72" i="49" s="1"/>
  <c r="N155" i="49" s="1"/>
  <c r="L113" i="49"/>
  <c r="N30" i="49"/>
  <c r="N83" i="49"/>
  <c r="J237" i="49"/>
  <c r="J290" i="49"/>
  <c r="N154" i="49"/>
  <c r="N91" i="48"/>
  <c r="N79" i="48"/>
  <c r="N78" i="48"/>
  <c r="N105" i="49" l="1"/>
  <c r="N112" i="49" s="1"/>
  <c r="N113" i="49" s="1"/>
  <c r="K254" i="49"/>
  <c r="M237" i="49"/>
  <c r="M286" i="48"/>
  <c r="L286" i="48"/>
  <c r="L203" i="48" s="1"/>
  <c r="K286" i="48"/>
  <c r="J286" i="48"/>
  <c r="K203" i="48" s="1"/>
  <c r="M269" i="48"/>
  <c r="L269" i="48"/>
  <c r="L202" i="48" s="1"/>
  <c r="K269" i="48"/>
  <c r="J269" i="48"/>
  <c r="L252" i="48"/>
  <c r="M250" i="48" s="1"/>
  <c r="J252" i="48"/>
  <c r="K250" i="48" s="1"/>
  <c r="L233" i="48"/>
  <c r="J233" i="48"/>
  <c r="L232" i="48"/>
  <c r="J232" i="48"/>
  <c r="L231" i="48"/>
  <c r="J231" i="48"/>
  <c r="L230" i="48"/>
  <c r="J230" i="48"/>
  <c r="L229" i="48"/>
  <c r="J229" i="48"/>
  <c r="L228" i="48"/>
  <c r="J228" i="48"/>
  <c r="L227" i="48"/>
  <c r="J227" i="48"/>
  <c r="L226" i="48"/>
  <c r="J226" i="48"/>
  <c r="L225" i="48"/>
  <c r="J225" i="48"/>
  <c r="L224" i="48"/>
  <c r="J224" i="48"/>
  <c r="L223" i="48"/>
  <c r="J223" i="48"/>
  <c r="L222" i="48"/>
  <c r="J222" i="48"/>
  <c r="L221" i="48"/>
  <c r="J221" i="48"/>
  <c r="L207" i="48"/>
  <c r="K202" i="48"/>
  <c r="L187" i="48"/>
  <c r="K168" i="48"/>
  <c r="L167" i="48"/>
  <c r="N146" i="48"/>
  <c r="N145" i="48"/>
  <c r="N147" i="48" s="1"/>
  <c r="N128" i="48"/>
  <c r="B115" i="48"/>
  <c r="B182" i="48" s="1"/>
  <c r="B297" i="48" s="1"/>
  <c r="L111" i="48"/>
  <c r="L98" i="48"/>
  <c r="A98" i="48"/>
  <c r="A99" i="48" s="1"/>
  <c r="A100" i="48" s="1"/>
  <c r="A101" i="48" s="1"/>
  <c r="A102" i="48" s="1"/>
  <c r="A103" i="48" s="1"/>
  <c r="A104" i="48" s="1"/>
  <c r="A90" i="48"/>
  <c r="A91" i="48" s="1"/>
  <c r="L85" i="48"/>
  <c r="N84" i="48"/>
  <c r="L83" i="48"/>
  <c r="L87" i="48" s="1"/>
  <c r="N83" i="48"/>
  <c r="F75" i="48"/>
  <c r="N70" i="48"/>
  <c r="N69" i="48"/>
  <c r="L59" i="48"/>
  <c r="J59" i="48"/>
  <c r="F59" i="48"/>
  <c r="F72" i="48" s="1"/>
  <c r="D59" i="48"/>
  <c r="D72" i="48" s="1"/>
  <c r="N57" i="48"/>
  <c r="N68" i="48" s="1"/>
  <c r="H59" i="48"/>
  <c r="J47" i="48"/>
  <c r="J46" i="48"/>
  <c r="N40" i="48"/>
  <c r="H30" i="48"/>
  <c r="F30" i="48"/>
  <c r="D30" i="48"/>
  <c r="N30" i="48" s="1"/>
  <c r="H29" i="48"/>
  <c r="F29" i="48"/>
  <c r="D29" i="48"/>
  <c r="N28" i="48"/>
  <c r="N42" i="48" s="1"/>
  <c r="N87" i="48" l="1"/>
  <c r="K237" i="49"/>
  <c r="N167" i="48"/>
  <c r="N29" i="48"/>
  <c r="N34" i="48" s="1"/>
  <c r="L189" i="48" s="1"/>
  <c r="L190" i="48" s="1"/>
  <c r="N41" i="48"/>
  <c r="N119" i="48"/>
  <c r="L112" i="48"/>
  <c r="L288" i="48"/>
  <c r="L235" i="48"/>
  <c r="M232" i="48" s="1"/>
  <c r="M242" i="48"/>
  <c r="M239" i="48"/>
  <c r="M246" i="48"/>
  <c r="M238" i="48"/>
  <c r="M240" i="48"/>
  <c r="M244" i="48"/>
  <c r="M248" i="48"/>
  <c r="M241" i="48"/>
  <c r="M243" i="48"/>
  <c r="M245" i="48"/>
  <c r="M247" i="48"/>
  <c r="M249" i="48"/>
  <c r="K238" i="48"/>
  <c r="K239" i="48"/>
  <c r="K240" i="48"/>
  <c r="K241" i="48"/>
  <c r="K242" i="48"/>
  <c r="K243" i="48"/>
  <c r="K244" i="48"/>
  <c r="K245" i="48"/>
  <c r="K246" i="48"/>
  <c r="K247" i="48"/>
  <c r="K248" i="48"/>
  <c r="K249" i="48"/>
  <c r="J235" i="48"/>
  <c r="K233" i="48" s="1"/>
  <c r="J288" i="48"/>
  <c r="L191" i="48"/>
  <c r="N175" i="48"/>
  <c r="N177" i="48"/>
  <c r="N173" i="48"/>
  <c r="N104" i="48"/>
  <c r="N111" i="48" s="1"/>
  <c r="N112" i="48" s="1"/>
  <c r="K228" i="48"/>
  <c r="K226" i="48"/>
  <c r="K224" i="48"/>
  <c r="M233" i="48"/>
  <c r="M231" i="48"/>
  <c r="M229" i="48"/>
  <c r="M227" i="48"/>
  <c r="M225" i="48"/>
  <c r="M223" i="48"/>
  <c r="M221" i="48"/>
  <c r="L197" i="48"/>
  <c r="N56" i="48"/>
  <c r="H56" i="47"/>
  <c r="K222" i="48" l="1"/>
  <c r="K232" i="48"/>
  <c r="M222" i="48"/>
  <c r="M224" i="48"/>
  <c r="M226" i="48"/>
  <c r="M228" i="48"/>
  <c r="M230" i="48"/>
  <c r="M252" i="48"/>
  <c r="K230" i="48"/>
  <c r="K252" i="48"/>
  <c r="K221" i="48"/>
  <c r="K223" i="48"/>
  <c r="K225" i="48"/>
  <c r="K227" i="48"/>
  <c r="K229" i="48"/>
  <c r="K231" i="48"/>
  <c r="N152" i="48"/>
  <c r="N59" i="48"/>
  <c r="N72" i="48" s="1"/>
  <c r="N153" i="48" s="1"/>
  <c r="N91" i="47"/>
  <c r="N78" i="47"/>
  <c r="M235" i="48" l="1"/>
  <c r="K235" i="48"/>
  <c r="M286" i="47"/>
  <c r="L286" i="47"/>
  <c r="L203" i="47" s="1"/>
  <c r="K286" i="47"/>
  <c r="J286" i="47"/>
  <c r="M269" i="47"/>
  <c r="L269" i="47"/>
  <c r="L202" i="47" s="1"/>
  <c r="K269" i="47"/>
  <c r="J269" i="47"/>
  <c r="K202" i="47" s="1"/>
  <c r="L252" i="47"/>
  <c r="M250" i="47" s="1"/>
  <c r="J252" i="47"/>
  <c r="K250" i="47" s="1"/>
  <c r="M248" i="47"/>
  <c r="M245" i="47"/>
  <c r="K243" i="47"/>
  <c r="M240" i="47"/>
  <c r="M238" i="47"/>
  <c r="L233" i="47"/>
  <c r="J233" i="47"/>
  <c r="L232" i="47"/>
  <c r="J232" i="47"/>
  <c r="L231" i="47"/>
  <c r="J231" i="47"/>
  <c r="L230" i="47"/>
  <c r="J230" i="47"/>
  <c r="L229" i="47"/>
  <c r="J229" i="47"/>
  <c r="L228" i="47"/>
  <c r="J228" i="47"/>
  <c r="L227" i="47"/>
  <c r="J227" i="47"/>
  <c r="L226" i="47"/>
  <c r="J226" i="47"/>
  <c r="L225" i="47"/>
  <c r="J225" i="47"/>
  <c r="L224" i="47"/>
  <c r="J224" i="47"/>
  <c r="L223" i="47"/>
  <c r="J223" i="47"/>
  <c r="L222" i="47"/>
  <c r="J222" i="47"/>
  <c r="L221" i="47"/>
  <c r="J221" i="47"/>
  <c r="L207" i="47"/>
  <c r="L197" i="47"/>
  <c r="L187" i="47"/>
  <c r="K168" i="47"/>
  <c r="L167" i="47"/>
  <c r="N167" i="47" s="1"/>
  <c r="N146" i="47"/>
  <c r="N145" i="47"/>
  <c r="N128" i="47"/>
  <c r="B115" i="47"/>
  <c r="B182" i="47" s="1"/>
  <c r="B297" i="47" s="1"/>
  <c r="L111" i="47"/>
  <c r="L98" i="47"/>
  <c r="A98" i="47"/>
  <c r="A99" i="47" s="1"/>
  <c r="A100" i="47" s="1"/>
  <c r="A101" i="47" s="1"/>
  <c r="A102" i="47" s="1"/>
  <c r="A103" i="47" s="1"/>
  <c r="A104" i="47" s="1"/>
  <c r="A90" i="47"/>
  <c r="A91" i="47" s="1"/>
  <c r="L85" i="47"/>
  <c r="N84" i="47"/>
  <c r="L83" i="47"/>
  <c r="N83" i="47"/>
  <c r="N87" i="47" s="1"/>
  <c r="F75" i="47"/>
  <c r="N70" i="47"/>
  <c r="N69" i="47"/>
  <c r="L59" i="47"/>
  <c r="J59" i="47"/>
  <c r="H59" i="47"/>
  <c r="F59" i="47"/>
  <c r="F72" i="47" s="1"/>
  <c r="D59" i="47"/>
  <c r="D72" i="47" s="1"/>
  <c r="N57" i="47"/>
  <c r="N56" i="47"/>
  <c r="N152" i="47" s="1"/>
  <c r="J47" i="47"/>
  <c r="J46" i="47"/>
  <c r="N40" i="47"/>
  <c r="H30" i="47"/>
  <c r="F30" i="47"/>
  <c r="D30" i="47"/>
  <c r="H29" i="47"/>
  <c r="F29" i="47"/>
  <c r="D29" i="47"/>
  <c r="N28" i="47"/>
  <c r="N119" i="47" s="1"/>
  <c r="K241" i="47" l="1"/>
  <c r="M243" i="47"/>
  <c r="M246" i="47"/>
  <c r="K249" i="47"/>
  <c r="M244" i="47"/>
  <c r="N29" i="47"/>
  <c r="L87" i="47"/>
  <c r="L112" i="47" s="1"/>
  <c r="K239" i="47"/>
  <c r="M241" i="47"/>
  <c r="M252" i="47" s="1"/>
  <c r="K247" i="47"/>
  <c r="M249" i="47"/>
  <c r="M239" i="47"/>
  <c r="M242" i="47"/>
  <c r="K245" i="47"/>
  <c r="M247" i="47"/>
  <c r="K238" i="47"/>
  <c r="K240" i="47"/>
  <c r="K242" i="47"/>
  <c r="K244" i="47"/>
  <c r="K246" i="47"/>
  <c r="K248" i="47"/>
  <c r="J235" i="47"/>
  <c r="K225" i="47" s="1"/>
  <c r="N30" i="47"/>
  <c r="L235" i="47"/>
  <c r="M222" i="47" s="1"/>
  <c r="J288" i="47"/>
  <c r="L288" i="47"/>
  <c r="N34" i="47"/>
  <c r="L189" i="47" s="1"/>
  <c r="L190" i="47" s="1"/>
  <c r="N41" i="47"/>
  <c r="N147" i="47"/>
  <c r="K203" i="47"/>
  <c r="L191" i="47"/>
  <c r="N175" i="47"/>
  <c r="N177" i="47"/>
  <c r="N173" i="47"/>
  <c r="N104" i="47"/>
  <c r="N111" i="47" s="1"/>
  <c r="N112" i="47" s="1"/>
  <c r="K224" i="47"/>
  <c r="K227" i="47"/>
  <c r="K232" i="47"/>
  <c r="M227" i="47"/>
  <c r="M228" i="47"/>
  <c r="M229" i="47"/>
  <c r="M230" i="47"/>
  <c r="M231" i="47"/>
  <c r="M232" i="47"/>
  <c r="M233" i="47"/>
  <c r="N42" i="47"/>
  <c r="N59" i="47"/>
  <c r="N72" i="47" s="1"/>
  <c r="N153" i="47" s="1"/>
  <c r="M221" i="47"/>
  <c r="L197" i="46"/>
  <c r="K223" i="47" l="1"/>
  <c r="K231" i="47"/>
  <c r="K221" i="47"/>
  <c r="K228" i="47"/>
  <c r="K230" i="47"/>
  <c r="K226" i="47"/>
  <c r="K222" i="47"/>
  <c r="K233" i="47"/>
  <c r="K235" i="47" s="1"/>
  <c r="K229" i="47"/>
  <c r="K252" i="47"/>
  <c r="M226" i="47"/>
  <c r="M225" i="47"/>
  <c r="M224" i="47"/>
  <c r="M223" i="47"/>
  <c r="N91" i="46"/>
  <c r="N78" i="46"/>
  <c r="M235" i="47" l="1"/>
  <c r="M286" i="46"/>
  <c r="L286" i="46"/>
  <c r="L203" i="46" s="1"/>
  <c r="K286" i="46"/>
  <c r="J286" i="46"/>
  <c r="K203" i="46" s="1"/>
  <c r="M269" i="46"/>
  <c r="L269" i="46"/>
  <c r="L202" i="46" s="1"/>
  <c r="K269" i="46"/>
  <c r="J269" i="46"/>
  <c r="K202" i="46" s="1"/>
  <c r="L252" i="46"/>
  <c r="M249" i="46" s="1"/>
  <c r="J252" i="46"/>
  <c r="K250" i="46" s="1"/>
  <c r="M250" i="46"/>
  <c r="M248" i="46"/>
  <c r="M247" i="46"/>
  <c r="M246" i="46"/>
  <c r="M245" i="46"/>
  <c r="K245" i="46"/>
  <c r="M243" i="46"/>
  <c r="K243" i="46"/>
  <c r="M242" i="46"/>
  <c r="M240" i="46"/>
  <c r="M239" i="46"/>
  <c r="M238" i="46"/>
  <c r="L233" i="46"/>
  <c r="J233" i="46"/>
  <c r="L232" i="46"/>
  <c r="J232" i="46"/>
  <c r="L231" i="46"/>
  <c r="J231" i="46"/>
  <c r="L230" i="46"/>
  <c r="J230" i="46"/>
  <c r="L229" i="46"/>
  <c r="J229" i="46"/>
  <c r="L228" i="46"/>
  <c r="J228" i="46"/>
  <c r="L227" i="46"/>
  <c r="J227" i="46"/>
  <c r="L226" i="46"/>
  <c r="J226" i="46"/>
  <c r="L225" i="46"/>
  <c r="J225" i="46"/>
  <c r="L224" i="46"/>
  <c r="J224" i="46"/>
  <c r="L223" i="46"/>
  <c r="J223" i="46"/>
  <c r="L222" i="46"/>
  <c r="J222" i="46"/>
  <c r="L221" i="46"/>
  <c r="J221" i="46"/>
  <c r="L207" i="46"/>
  <c r="L187" i="46"/>
  <c r="K168" i="46"/>
  <c r="L167" i="46"/>
  <c r="N167" i="46" s="1"/>
  <c r="N146" i="46"/>
  <c r="N145" i="46"/>
  <c r="N128" i="46"/>
  <c r="B115" i="46"/>
  <c r="B182" i="46" s="1"/>
  <c r="B297" i="46" s="1"/>
  <c r="L111" i="46"/>
  <c r="L98" i="46"/>
  <c r="A98" i="46"/>
  <c r="A99" i="46" s="1"/>
  <c r="A100" i="46" s="1"/>
  <c r="A101" i="46" s="1"/>
  <c r="A102" i="46" s="1"/>
  <c r="A103" i="46" s="1"/>
  <c r="A104" i="46" s="1"/>
  <c r="A90" i="46"/>
  <c r="A91" i="46" s="1"/>
  <c r="L85" i="46"/>
  <c r="N84" i="46"/>
  <c r="L83" i="46"/>
  <c r="L87" i="46" s="1"/>
  <c r="N83" i="46"/>
  <c r="F75" i="46"/>
  <c r="N70" i="46"/>
  <c r="N69" i="46"/>
  <c r="L59" i="46"/>
  <c r="J59" i="46"/>
  <c r="H59" i="46"/>
  <c r="F59" i="46"/>
  <c r="F72" i="46" s="1"/>
  <c r="D59" i="46"/>
  <c r="D72" i="46" s="1"/>
  <c r="N57" i="46"/>
  <c r="N68" i="46" s="1"/>
  <c r="N56" i="46"/>
  <c r="N152" i="46" s="1"/>
  <c r="J47" i="46"/>
  <c r="J46" i="46"/>
  <c r="N40" i="46"/>
  <c r="H30" i="46"/>
  <c r="F30" i="46"/>
  <c r="D30" i="46"/>
  <c r="H29" i="46"/>
  <c r="F29" i="46"/>
  <c r="D29" i="46"/>
  <c r="N28" i="46"/>
  <c r="N119" i="46" s="1"/>
  <c r="K241" i="46" l="1"/>
  <c r="K249" i="46"/>
  <c r="K239" i="46"/>
  <c r="M241" i="46"/>
  <c r="M252" i="46" s="1"/>
  <c r="M244" i="46"/>
  <c r="K247" i="46"/>
  <c r="K238" i="46"/>
  <c r="K240" i="46"/>
  <c r="K242" i="46"/>
  <c r="K244" i="46"/>
  <c r="K246" i="46"/>
  <c r="K248" i="46"/>
  <c r="N147" i="46"/>
  <c r="N29" i="46"/>
  <c r="N34" i="46" s="1"/>
  <c r="L189" i="46" s="1"/>
  <c r="L190" i="46" s="1"/>
  <c r="N30" i="46"/>
  <c r="N87" i="46"/>
  <c r="L191" i="46" s="1"/>
  <c r="N41" i="46"/>
  <c r="L112" i="46"/>
  <c r="L288" i="46"/>
  <c r="L235" i="46"/>
  <c r="M232" i="46" s="1"/>
  <c r="J235" i="46"/>
  <c r="K232" i="46" s="1"/>
  <c r="J288" i="46"/>
  <c r="N177" i="46"/>
  <c r="N104" i="46"/>
  <c r="N111" i="46" s="1"/>
  <c r="N112" i="46" s="1"/>
  <c r="K227" i="46"/>
  <c r="N42" i="46"/>
  <c r="N59" i="46"/>
  <c r="N72" i="46" s="1"/>
  <c r="N153" i="46" s="1"/>
  <c r="N91" i="45"/>
  <c r="N78" i="45"/>
  <c r="K252" i="46" l="1"/>
  <c r="N173" i="46"/>
  <c r="N175" i="46"/>
  <c r="K221" i="46"/>
  <c r="K233" i="46"/>
  <c r="K223" i="46"/>
  <c r="K225" i="46"/>
  <c r="M233" i="46"/>
  <c r="M221" i="46"/>
  <c r="M222" i="46"/>
  <c r="M223" i="46"/>
  <c r="K229" i="46"/>
  <c r="K222" i="46"/>
  <c r="K224" i="46"/>
  <c r="K226" i="46"/>
  <c r="K228" i="46"/>
  <c r="K231" i="46"/>
  <c r="M224" i="46"/>
  <c r="M225" i="46"/>
  <c r="M226" i="46"/>
  <c r="M227" i="46"/>
  <c r="M228" i="46"/>
  <c r="M229" i="46"/>
  <c r="M230" i="46"/>
  <c r="M231" i="46"/>
  <c r="K230" i="46"/>
  <c r="M286" i="45"/>
  <c r="L286" i="45"/>
  <c r="K286" i="45"/>
  <c r="J286" i="45"/>
  <c r="K203" i="45" s="1"/>
  <c r="M269" i="45"/>
  <c r="L269" i="45"/>
  <c r="L202" i="45" s="1"/>
  <c r="K269" i="45"/>
  <c r="J269" i="45"/>
  <c r="K202" i="45" s="1"/>
  <c r="L252" i="45"/>
  <c r="M249" i="45" s="1"/>
  <c r="J252" i="45"/>
  <c r="K250" i="45" s="1"/>
  <c r="L233" i="45"/>
  <c r="J233" i="45"/>
  <c r="L232" i="45"/>
  <c r="J232" i="45"/>
  <c r="L231" i="45"/>
  <c r="J231" i="45"/>
  <c r="L230" i="45"/>
  <c r="J230" i="45"/>
  <c r="L229" i="45"/>
  <c r="J229" i="45"/>
  <c r="L228" i="45"/>
  <c r="J228" i="45"/>
  <c r="L227" i="45"/>
  <c r="J227" i="45"/>
  <c r="L226" i="45"/>
  <c r="J226" i="45"/>
  <c r="L225" i="45"/>
  <c r="J225" i="45"/>
  <c r="L224" i="45"/>
  <c r="J224" i="45"/>
  <c r="L223" i="45"/>
  <c r="J223" i="45"/>
  <c r="L222" i="45"/>
  <c r="J222" i="45"/>
  <c r="L221" i="45"/>
  <c r="J221" i="45"/>
  <c r="L207" i="45"/>
  <c r="L203" i="45"/>
  <c r="L197" i="45"/>
  <c r="L187" i="45"/>
  <c r="K168" i="45"/>
  <c r="L167" i="45"/>
  <c r="N167" i="45" s="1"/>
  <c r="N146" i="45"/>
  <c r="N145" i="45"/>
  <c r="N128" i="45"/>
  <c r="B115" i="45"/>
  <c r="B182" i="45" s="1"/>
  <c r="B297" i="45" s="1"/>
  <c r="L111" i="45"/>
  <c r="L98" i="45"/>
  <c r="A98" i="45"/>
  <c r="A99" i="45" s="1"/>
  <c r="A100" i="45" s="1"/>
  <c r="A101" i="45" s="1"/>
  <c r="A102" i="45" s="1"/>
  <c r="A103" i="45" s="1"/>
  <c r="A104" i="45" s="1"/>
  <c r="A90" i="45"/>
  <c r="A91" i="45" s="1"/>
  <c r="L85" i="45"/>
  <c r="N84" i="45"/>
  <c r="L83" i="45"/>
  <c r="N83" i="45"/>
  <c r="N87" i="45" s="1"/>
  <c r="F75" i="45"/>
  <c r="N70" i="45"/>
  <c r="N69" i="45"/>
  <c r="L59" i="45"/>
  <c r="J59" i="45"/>
  <c r="H59" i="45"/>
  <c r="F59" i="45"/>
  <c r="F72" i="45" s="1"/>
  <c r="D59" i="45"/>
  <c r="D72" i="45" s="1"/>
  <c r="N57" i="45"/>
  <c r="N68" i="45" s="1"/>
  <c r="N56" i="45"/>
  <c r="N152" i="45" s="1"/>
  <c r="J47" i="45"/>
  <c r="J46" i="45"/>
  <c r="N40" i="45"/>
  <c r="H30" i="45"/>
  <c r="F30" i="45"/>
  <c r="D30" i="45"/>
  <c r="H29" i="45"/>
  <c r="F29" i="45"/>
  <c r="D29" i="45"/>
  <c r="N28" i="45"/>
  <c r="N119" i="45" s="1"/>
  <c r="K238" i="45" l="1"/>
  <c r="K240" i="45"/>
  <c r="K244" i="45"/>
  <c r="M250" i="45"/>
  <c r="K235" i="46"/>
  <c r="N29" i="45"/>
  <c r="N34" i="45" s="1"/>
  <c r="L189" i="45" s="1"/>
  <c r="L190" i="45" s="1"/>
  <c r="L87" i="45"/>
  <c r="N41" i="45"/>
  <c r="K242" i="45"/>
  <c r="M235" i="46"/>
  <c r="N30" i="45"/>
  <c r="N147" i="45"/>
  <c r="K239" i="45"/>
  <c r="K241" i="45"/>
  <c r="K243" i="45"/>
  <c r="L112" i="45"/>
  <c r="L235" i="45"/>
  <c r="M222" i="45" s="1"/>
  <c r="M238" i="45"/>
  <c r="M239" i="45"/>
  <c r="M240" i="45"/>
  <c r="M241" i="45"/>
  <c r="M246" i="45"/>
  <c r="M242" i="45"/>
  <c r="M243" i="45"/>
  <c r="M244" i="45"/>
  <c r="M248" i="45"/>
  <c r="M245" i="45"/>
  <c r="M247" i="45"/>
  <c r="L288" i="45"/>
  <c r="J235" i="45"/>
  <c r="K222" i="45" s="1"/>
  <c r="K245" i="45"/>
  <c r="K246" i="45"/>
  <c r="K247" i="45"/>
  <c r="K248" i="45"/>
  <c r="K249" i="45"/>
  <c r="J288" i="45"/>
  <c r="L191" i="45"/>
  <c r="N175" i="45"/>
  <c r="N177" i="45"/>
  <c r="N173" i="45"/>
  <c r="N104" i="45"/>
  <c r="N111" i="45" s="1"/>
  <c r="N112" i="45" s="1"/>
  <c r="K224" i="45"/>
  <c r="K230" i="45"/>
  <c r="M225" i="45"/>
  <c r="M233" i="45"/>
  <c r="N42" i="45"/>
  <c r="N59" i="45"/>
  <c r="N72" i="45" s="1"/>
  <c r="N153" i="45" s="1"/>
  <c r="M221" i="45"/>
  <c r="N91" i="44"/>
  <c r="N78" i="44"/>
  <c r="K227" i="45" l="1"/>
  <c r="K232" i="45"/>
  <c r="K221" i="45"/>
  <c r="K231" i="45"/>
  <c r="K228" i="45"/>
  <c r="K226" i="45"/>
  <c r="M231" i="45"/>
  <c r="M223" i="45"/>
  <c r="K252" i="45"/>
  <c r="M229" i="45"/>
  <c r="K233" i="45"/>
  <c r="K229" i="45"/>
  <c r="K225" i="45"/>
  <c r="M227" i="45"/>
  <c r="M232" i="45"/>
  <c r="M230" i="45"/>
  <c r="M228" i="45"/>
  <c r="M226" i="45"/>
  <c r="M224" i="45"/>
  <c r="K223" i="45"/>
  <c r="M252" i="45"/>
  <c r="M235" i="45" l="1"/>
  <c r="K235" i="45"/>
  <c r="L286" i="44"/>
  <c r="L203" i="44" s="1"/>
  <c r="J286" i="44"/>
  <c r="K203" i="44" s="1"/>
  <c r="M286" i="44"/>
  <c r="K286" i="44"/>
  <c r="M269" i="44"/>
  <c r="L269" i="44"/>
  <c r="L202" i="44" s="1"/>
  <c r="K269" i="44"/>
  <c r="J269" i="44"/>
  <c r="L252" i="44"/>
  <c r="M250" i="44" s="1"/>
  <c r="J252" i="44"/>
  <c r="K249" i="44" s="1"/>
  <c r="L233" i="44"/>
  <c r="J233" i="44"/>
  <c r="L232" i="44"/>
  <c r="J232" i="44"/>
  <c r="L231" i="44"/>
  <c r="J231" i="44"/>
  <c r="L230" i="44"/>
  <c r="J230" i="44"/>
  <c r="L229" i="44"/>
  <c r="J229" i="44"/>
  <c r="L228" i="44"/>
  <c r="J228" i="44"/>
  <c r="L227" i="44"/>
  <c r="J227" i="44"/>
  <c r="L226" i="44"/>
  <c r="J226" i="44"/>
  <c r="L225" i="44"/>
  <c r="J225" i="44"/>
  <c r="L224" i="44"/>
  <c r="J224" i="44"/>
  <c r="L223" i="44"/>
  <c r="J223" i="44"/>
  <c r="L222" i="44"/>
  <c r="J222" i="44"/>
  <c r="L221" i="44"/>
  <c r="J221" i="44"/>
  <c r="L207" i="44"/>
  <c r="K202" i="44"/>
  <c r="L197" i="44"/>
  <c r="L187" i="44"/>
  <c r="K168" i="44"/>
  <c r="L167" i="44"/>
  <c r="N167" i="44" s="1"/>
  <c r="N146" i="44"/>
  <c r="N145" i="44"/>
  <c r="N128" i="44"/>
  <c r="B115" i="44"/>
  <c r="B182" i="44" s="1"/>
  <c r="B297" i="44" s="1"/>
  <c r="L111" i="44"/>
  <c r="L98" i="44"/>
  <c r="A98" i="44"/>
  <c r="A99" i="44" s="1"/>
  <c r="A100" i="44" s="1"/>
  <c r="A101" i="44" s="1"/>
  <c r="A102" i="44" s="1"/>
  <c r="A103" i="44" s="1"/>
  <c r="A104" i="44" s="1"/>
  <c r="A90" i="44"/>
  <c r="A91" i="44" s="1"/>
  <c r="L85" i="44"/>
  <c r="N84" i="44"/>
  <c r="N83" i="44"/>
  <c r="L83" i="44"/>
  <c r="F75" i="44"/>
  <c r="N70" i="44"/>
  <c r="N69" i="44"/>
  <c r="L59" i="44"/>
  <c r="J59" i="44"/>
  <c r="H59" i="44"/>
  <c r="F59" i="44"/>
  <c r="F72" i="44" s="1"/>
  <c r="D59" i="44"/>
  <c r="D72" i="44" s="1"/>
  <c r="N57" i="44"/>
  <c r="N68" i="44" s="1"/>
  <c r="N56" i="44"/>
  <c r="N152" i="44" s="1"/>
  <c r="J47" i="44"/>
  <c r="J46" i="44"/>
  <c r="N40" i="44"/>
  <c r="H30" i="44"/>
  <c r="F30" i="44"/>
  <c r="D30" i="44"/>
  <c r="H29" i="44"/>
  <c r="F29" i="44"/>
  <c r="D29" i="44"/>
  <c r="N28" i="44"/>
  <c r="N42" i="44" s="1"/>
  <c r="K240" i="44" l="1"/>
  <c r="K246" i="44"/>
  <c r="K242" i="44"/>
  <c r="K247" i="44"/>
  <c r="K243" i="44"/>
  <c r="K248" i="44"/>
  <c r="K239" i="44"/>
  <c r="K244" i="44"/>
  <c r="K250" i="44"/>
  <c r="N87" i="44"/>
  <c r="L191" i="44" s="1"/>
  <c r="M238" i="44"/>
  <c r="N30" i="44"/>
  <c r="K238" i="44"/>
  <c r="K241" i="44"/>
  <c r="K245" i="44"/>
  <c r="N41" i="44"/>
  <c r="N29" i="44"/>
  <c r="N34" i="44" s="1"/>
  <c r="L189" i="44" s="1"/>
  <c r="L190" i="44" s="1"/>
  <c r="L87" i="44"/>
  <c r="N119" i="44"/>
  <c r="N147" i="44"/>
  <c r="L112" i="44"/>
  <c r="L235" i="44"/>
  <c r="M232" i="44" s="1"/>
  <c r="M239" i="44"/>
  <c r="M240" i="44"/>
  <c r="M241" i="44"/>
  <c r="L288" i="44"/>
  <c r="M242" i="44"/>
  <c r="M243" i="44"/>
  <c r="M244" i="44"/>
  <c r="M245" i="44"/>
  <c r="M246" i="44"/>
  <c r="M247" i="44"/>
  <c r="M248" i="44"/>
  <c r="M249" i="44"/>
  <c r="J235" i="44"/>
  <c r="K232" i="44" s="1"/>
  <c r="J288" i="44"/>
  <c r="M224" i="44"/>
  <c r="N173" i="44"/>
  <c r="K233" i="44"/>
  <c r="K231" i="44"/>
  <c r="K228" i="44"/>
  <c r="K227" i="44"/>
  <c r="K224" i="44"/>
  <c r="K223" i="44"/>
  <c r="N59" i="44"/>
  <c r="N72" i="44" s="1"/>
  <c r="N153" i="44" s="1"/>
  <c r="K225" i="44" l="1"/>
  <c r="K252" i="44"/>
  <c r="K221" i="44"/>
  <c r="K229" i="44"/>
  <c r="K235" i="44" s="1"/>
  <c r="K222" i="44"/>
  <c r="K226" i="44"/>
  <c r="K230" i="44"/>
  <c r="N177" i="44"/>
  <c r="N175" i="44"/>
  <c r="N104" i="44"/>
  <c r="N111" i="44" s="1"/>
  <c r="N112" i="44" s="1"/>
  <c r="M228" i="44"/>
  <c r="M222" i="44"/>
  <c r="M233" i="44"/>
  <c r="M226" i="44"/>
  <c r="M221" i="44"/>
  <c r="M223" i="44"/>
  <c r="M225" i="44"/>
  <c r="M227" i="44"/>
  <c r="M229" i="44"/>
  <c r="M230" i="44"/>
  <c r="M231" i="44"/>
  <c r="M252" i="44"/>
  <c r="L197" i="43"/>
  <c r="M235" i="44" l="1"/>
  <c r="N91" i="43"/>
  <c r="N78" i="43"/>
  <c r="L77" i="43"/>
  <c r="L286" i="43" l="1"/>
  <c r="L203" i="43" s="1"/>
  <c r="J286" i="43"/>
  <c r="K203" i="43" s="1"/>
  <c r="M284" i="43"/>
  <c r="K284" i="43"/>
  <c r="M283" i="43"/>
  <c r="K283" i="43"/>
  <c r="M282" i="43"/>
  <c r="K282" i="43"/>
  <c r="M281" i="43"/>
  <c r="K281" i="43"/>
  <c r="M280" i="43"/>
  <c r="K280" i="43"/>
  <c r="M279" i="43"/>
  <c r="K279" i="43"/>
  <c r="M278" i="43"/>
  <c r="K278" i="43"/>
  <c r="M277" i="43"/>
  <c r="K277" i="43"/>
  <c r="M276" i="43"/>
  <c r="K276" i="43"/>
  <c r="M275" i="43"/>
  <c r="K275" i="43"/>
  <c r="M274" i="43"/>
  <c r="K274" i="43"/>
  <c r="M273" i="43"/>
  <c r="K273" i="43"/>
  <c r="M272" i="43"/>
  <c r="M286" i="43" s="1"/>
  <c r="K272" i="43"/>
  <c r="K286" i="43" s="1"/>
  <c r="M269" i="43"/>
  <c r="L269" i="43"/>
  <c r="L202" i="43" s="1"/>
  <c r="K269" i="43"/>
  <c r="J269" i="43"/>
  <c r="K202" i="43" s="1"/>
  <c r="L252" i="43"/>
  <c r="M249" i="43" s="1"/>
  <c r="J252" i="43"/>
  <c r="K250" i="43" s="1"/>
  <c r="M250" i="43"/>
  <c r="K248" i="43"/>
  <c r="L233" i="43"/>
  <c r="J233" i="43"/>
  <c r="L232" i="43"/>
  <c r="J232" i="43"/>
  <c r="L231" i="43"/>
  <c r="J231" i="43"/>
  <c r="L230" i="43"/>
  <c r="J230" i="43"/>
  <c r="L229" i="43"/>
  <c r="J229" i="43"/>
  <c r="L228" i="43"/>
  <c r="J228" i="43"/>
  <c r="L227" i="43"/>
  <c r="J227" i="43"/>
  <c r="L226" i="43"/>
  <c r="J226" i="43"/>
  <c r="L225" i="43"/>
  <c r="J225" i="43"/>
  <c r="L224" i="43"/>
  <c r="J224" i="43"/>
  <c r="L223" i="43"/>
  <c r="J223" i="43"/>
  <c r="L222" i="43"/>
  <c r="J222" i="43"/>
  <c r="L221" i="43"/>
  <c r="J221" i="43"/>
  <c r="L207" i="43"/>
  <c r="L187" i="43"/>
  <c r="K168" i="43"/>
  <c r="L167" i="43"/>
  <c r="N146" i="43"/>
  <c r="N145" i="43"/>
  <c r="N128" i="43"/>
  <c r="B115" i="43"/>
  <c r="B182" i="43" s="1"/>
  <c r="B297" i="43" s="1"/>
  <c r="L111" i="43"/>
  <c r="L98" i="43"/>
  <c r="A98" i="43"/>
  <c r="A99" i="43" s="1"/>
  <c r="A100" i="43" s="1"/>
  <c r="A101" i="43" s="1"/>
  <c r="A102" i="43" s="1"/>
  <c r="A103" i="43" s="1"/>
  <c r="A104" i="43" s="1"/>
  <c r="A90" i="43"/>
  <c r="A91" i="43" s="1"/>
  <c r="L85" i="43"/>
  <c r="N84" i="43"/>
  <c r="N83" i="43"/>
  <c r="L83" i="43"/>
  <c r="F75" i="43"/>
  <c r="N70" i="43"/>
  <c r="N69" i="43"/>
  <c r="L59" i="43"/>
  <c r="J59" i="43"/>
  <c r="H59" i="43"/>
  <c r="F59" i="43"/>
  <c r="F72" i="43" s="1"/>
  <c r="D59" i="43"/>
  <c r="D72" i="43" s="1"/>
  <c r="N57" i="43"/>
  <c r="N56" i="43"/>
  <c r="N152" i="43" s="1"/>
  <c r="J47" i="43"/>
  <c r="J46" i="43"/>
  <c r="N40" i="43"/>
  <c r="H30" i="43"/>
  <c r="F30" i="43"/>
  <c r="D30" i="43"/>
  <c r="H29" i="43"/>
  <c r="F29" i="43"/>
  <c r="D29" i="43"/>
  <c r="N28" i="43"/>
  <c r="N42" i="43" s="1"/>
  <c r="L87" i="43" l="1"/>
  <c r="K240" i="43"/>
  <c r="K244" i="43"/>
  <c r="N29" i="43"/>
  <c r="N34" i="43" s="1"/>
  <c r="L189" i="43" s="1"/>
  <c r="L190" i="43" s="1"/>
  <c r="K238" i="43"/>
  <c r="K242" i="43"/>
  <c r="K246" i="43"/>
  <c r="N30" i="43"/>
  <c r="N87" i="43"/>
  <c r="L191" i="43" s="1"/>
  <c r="K239" i="43"/>
  <c r="K241" i="43"/>
  <c r="K243" i="43"/>
  <c r="K245" i="43"/>
  <c r="K247" i="43"/>
  <c r="L112" i="43"/>
  <c r="N147" i="43"/>
  <c r="N59" i="43"/>
  <c r="N41" i="43"/>
  <c r="L235" i="43"/>
  <c r="M223" i="43" s="1"/>
  <c r="M238" i="43"/>
  <c r="M239" i="43"/>
  <c r="M240" i="43"/>
  <c r="M241" i="43"/>
  <c r="M242" i="43"/>
  <c r="M243" i="43"/>
  <c r="M244" i="43"/>
  <c r="M245" i="43"/>
  <c r="M246" i="43"/>
  <c r="M247" i="43"/>
  <c r="M248" i="43"/>
  <c r="L288" i="43"/>
  <c r="J235" i="43"/>
  <c r="K223" i="43" s="1"/>
  <c r="J288" i="43"/>
  <c r="K249" i="43"/>
  <c r="N175" i="43"/>
  <c r="M226" i="43"/>
  <c r="N68" i="43"/>
  <c r="N119" i="43"/>
  <c r="N167" i="43"/>
  <c r="K232" i="43" l="1"/>
  <c r="K230" i="43"/>
  <c r="M252" i="43"/>
  <c r="N173" i="43"/>
  <c r="K252" i="43"/>
  <c r="M224" i="43"/>
  <c r="M222" i="43"/>
  <c r="M221" i="43"/>
  <c r="M232" i="43"/>
  <c r="M230" i="43"/>
  <c r="M228" i="43"/>
  <c r="K222" i="43"/>
  <c r="K221" i="43"/>
  <c r="M233" i="43"/>
  <c r="M231" i="43"/>
  <c r="M229" i="43"/>
  <c r="M227" i="43"/>
  <c r="M225" i="43"/>
  <c r="N104" i="43"/>
  <c r="N111" i="43" s="1"/>
  <c r="N112" i="43" s="1"/>
  <c r="N177" i="43"/>
  <c r="K233" i="43"/>
  <c r="K231" i="43"/>
  <c r="K229" i="43"/>
  <c r="N72" i="43"/>
  <c r="N153" i="43" s="1"/>
  <c r="K228" i="43"/>
  <c r="K227" i="43"/>
  <c r="K226" i="43"/>
  <c r="K225" i="43"/>
  <c r="K224" i="43"/>
  <c r="M235" i="43" l="1"/>
  <c r="K235" i="43"/>
  <c r="N91" i="42" l="1"/>
  <c r="N78" i="42"/>
  <c r="L77" i="42"/>
  <c r="L286" i="42" l="1"/>
  <c r="L203" i="42" s="1"/>
  <c r="J286" i="42"/>
  <c r="M284" i="42"/>
  <c r="K284" i="42"/>
  <c r="M283" i="42"/>
  <c r="K283" i="42"/>
  <c r="M282" i="42"/>
  <c r="K282" i="42"/>
  <c r="M281" i="42"/>
  <c r="K281" i="42"/>
  <c r="M280" i="42"/>
  <c r="K280" i="42"/>
  <c r="M279" i="42"/>
  <c r="K279" i="42"/>
  <c r="M278" i="42"/>
  <c r="K278" i="42"/>
  <c r="M277" i="42"/>
  <c r="K277" i="42"/>
  <c r="M276" i="42"/>
  <c r="K276" i="42"/>
  <c r="M275" i="42"/>
  <c r="K275" i="42"/>
  <c r="M274" i="42"/>
  <c r="K274" i="42"/>
  <c r="M273" i="42"/>
  <c r="K273" i="42"/>
  <c r="M272" i="42"/>
  <c r="M286" i="42" s="1"/>
  <c r="K272" i="42"/>
  <c r="K286" i="42" s="1"/>
  <c r="M269" i="42"/>
  <c r="L269" i="42"/>
  <c r="L202" i="42" s="1"/>
  <c r="K269" i="42"/>
  <c r="J269" i="42"/>
  <c r="K202" i="42" s="1"/>
  <c r="L252" i="42"/>
  <c r="J252" i="42"/>
  <c r="K250" i="42" s="1"/>
  <c r="K247" i="42"/>
  <c r="K243" i="42"/>
  <c r="M242" i="42"/>
  <c r="K242" i="42"/>
  <c r="M241" i="42"/>
  <c r="K241" i="42"/>
  <c r="M240" i="42"/>
  <c r="K240" i="42"/>
  <c r="M239" i="42"/>
  <c r="K239" i="42"/>
  <c r="M238" i="42"/>
  <c r="K238" i="42"/>
  <c r="L233" i="42"/>
  <c r="J233" i="42"/>
  <c r="L232" i="42"/>
  <c r="J232" i="42"/>
  <c r="L231" i="42"/>
  <c r="J231" i="42"/>
  <c r="L230" i="42"/>
  <c r="J230" i="42"/>
  <c r="L229" i="42"/>
  <c r="J229" i="42"/>
  <c r="L228" i="42"/>
  <c r="J228" i="42"/>
  <c r="L227" i="42"/>
  <c r="J227" i="42"/>
  <c r="L226" i="42"/>
  <c r="J226" i="42"/>
  <c r="L225" i="42"/>
  <c r="J225" i="42"/>
  <c r="L224" i="42"/>
  <c r="J224" i="42"/>
  <c r="L223" i="42"/>
  <c r="J223" i="42"/>
  <c r="L222" i="42"/>
  <c r="J222" i="42"/>
  <c r="L221" i="42"/>
  <c r="J221" i="42"/>
  <c r="L207" i="42"/>
  <c r="K203" i="42"/>
  <c r="L197" i="42"/>
  <c r="L187" i="42"/>
  <c r="K168" i="42"/>
  <c r="L167" i="42"/>
  <c r="N167" i="42" s="1"/>
  <c r="N146" i="42"/>
  <c r="N145" i="42"/>
  <c r="N128" i="42"/>
  <c r="B115" i="42"/>
  <c r="B182" i="42" s="1"/>
  <c r="B297" i="42" s="1"/>
  <c r="L111" i="42"/>
  <c r="L98" i="42"/>
  <c r="A98" i="42"/>
  <c r="A99" i="42" s="1"/>
  <c r="A100" i="42" s="1"/>
  <c r="A101" i="42" s="1"/>
  <c r="A102" i="42" s="1"/>
  <c r="A103" i="42" s="1"/>
  <c r="A104" i="42" s="1"/>
  <c r="A90" i="42"/>
  <c r="A91" i="42" s="1"/>
  <c r="L85" i="42"/>
  <c r="N84" i="42"/>
  <c r="N83" i="42"/>
  <c r="L83" i="42"/>
  <c r="F75" i="42"/>
  <c r="N70" i="42"/>
  <c r="N69" i="42"/>
  <c r="L59" i="42"/>
  <c r="J59" i="42"/>
  <c r="H59" i="42"/>
  <c r="F59" i="42"/>
  <c r="F72" i="42" s="1"/>
  <c r="D59" i="42"/>
  <c r="D72" i="42" s="1"/>
  <c r="N57" i="42"/>
  <c r="N68" i="42" s="1"/>
  <c r="N56" i="42"/>
  <c r="N152" i="42" s="1"/>
  <c r="J47" i="42"/>
  <c r="J46" i="42"/>
  <c r="N40" i="42"/>
  <c r="H30" i="42"/>
  <c r="F30" i="42"/>
  <c r="D30" i="42"/>
  <c r="H29" i="42"/>
  <c r="F29" i="42"/>
  <c r="D29" i="42"/>
  <c r="N28" i="42"/>
  <c r="N119" i="42" s="1"/>
  <c r="L87" i="42" l="1"/>
  <c r="K245" i="42"/>
  <c r="K249" i="42"/>
  <c r="N41" i="42"/>
  <c r="N87" i="42"/>
  <c r="N175" i="42" s="1"/>
  <c r="K244" i="42"/>
  <c r="K246" i="42"/>
  <c r="K248" i="42"/>
  <c r="L288" i="42"/>
  <c r="L235" i="42"/>
  <c r="M232" i="42" s="1"/>
  <c r="M243" i="42"/>
  <c r="M244" i="42"/>
  <c r="M245" i="42"/>
  <c r="M246" i="42"/>
  <c r="M247" i="42"/>
  <c r="M248" i="42"/>
  <c r="M249" i="42"/>
  <c r="M250" i="42"/>
  <c r="J235" i="42"/>
  <c r="K232" i="42" s="1"/>
  <c r="J288" i="42"/>
  <c r="L112" i="42"/>
  <c r="N147" i="42"/>
  <c r="N29" i="42"/>
  <c r="N173" i="42"/>
  <c r="M222" i="42"/>
  <c r="K227" i="42"/>
  <c r="N30" i="42"/>
  <c r="N42" i="42"/>
  <c r="N59" i="42"/>
  <c r="N72" i="42" s="1"/>
  <c r="N153" i="42" s="1"/>
  <c r="L77" i="41"/>
  <c r="L111" i="41"/>
  <c r="M228" i="42" l="1"/>
  <c r="M224" i="42"/>
  <c r="M233" i="42"/>
  <c r="K221" i="42"/>
  <c r="K252" i="42"/>
  <c r="K223" i="42"/>
  <c r="K225" i="42"/>
  <c r="M226" i="42"/>
  <c r="N34" i="42"/>
  <c r="L189" i="42" s="1"/>
  <c r="L190" i="42" s="1"/>
  <c r="L191" i="42"/>
  <c r="N104" i="42"/>
  <c r="N111" i="42" s="1"/>
  <c r="N112" i="42" s="1"/>
  <c r="K222" i="42"/>
  <c r="K224" i="42"/>
  <c r="K226" i="42"/>
  <c r="K233" i="42"/>
  <c r="N177" i="42"/>
  <c r="M252" i="42"/>
  <c r="K228" i="42"/>
  <c r="M221" i="42"/>
  <c r="M223" i="42"/>
  <c r="M225" i="42"/>
  <c r="M227" i="42"/>
  <c r="M229" i="42"/>
  <c r="M230" i="42"/>
  <c r="M231" i="42"/>
  <c r="K229" i="42"/>
  <c r="K230" i="42"/>
  <c r="K231" i="42"/>
  <c r="M235" i="42" l="1"/>
  <c r="K235" i="42"/>
  <c r="N91" i="41"/>
  <c r="N79" i="41"/>
  <c r="N78" i="41"/>
  <c r="L286" i="41" l="1"/>
  <c r="L203" i="41" s="1"/>
  <c r="J286" i="41"/>
  <c r="M284" i="41"/>
  <c r="K284" i="41"/>
  <c r="M283" i="41"/>
  <c r="K283" i="41"/>
  <c r="M282" i="41"/>
  <c r="K282" i="41"/>
  <c r="M281" i="41"/>
  <c r="K281" i="41"/>
  <c r="M280" i="41"/>
  <c r="K280" i="41"/>
  <c r="M279" i="41"/>
  <c r="K279" i="41"/>
  <c r="M278" i="41"/>
  <c r="K278" i="41"/>
  <c r="M277" i="41"/>
  <c r="K277" i="41"/>
  <c r="M276" i="41"/>
  <c r="K276" i="41"/>
  <c r="M275" i="41"/>
  <c r="K275" i="41"/>
  <c r="M274" i="41"/>
  <c r="K274" i="41"/>
  <c r="M273" i="41"/>
  <c r="K273" i="41"/>
  <c r="M272" i="41"/>
  <c r="K272" i="41"/>
  <c r="K286" i="41" s="1"/>
  <c r="M269" i="41"/>
  <c r="L269" i="41"/>
  <c r="L202" i="41" s="1"/>
  <c r="K269" i="41"/>
  <c r="J269" i="41"/>
  <c r="K202" i="41" s="1"/>
  <c r="L252" i="41"/>
  <c r="J252" i="41"/>
  <c r="K250" i="41" s="1"/>
  <c r="K246" i="41"/>
  <c r="K242" i="41"/>
  <c r="K238" i="41"/>
  <c r="L233" i="41"/>
  <c r="J233" i="41"/>
  <c r="L232" i="41"/>
  <c r="J232" i="41"/>
  <c r="L231" i="41"/>
  <c r="J231" i="41"/>
  <c r="L230" i="41"/>
  <c r="J230" i="41"/>
  <c r="L229" i="41"/>
  <c r="J229" i="41"/>
  <c r="L228" i="41"/>
  <c r="J228" i="41"/>
  <c r="L227" i="41"/>
  <c r="J227" i="41"/>
  <c r="L226" i="41"/>
  <c r="J226" i="41"/>
  <c r="L225" i="41"/>
  <c r="J225" i="41"/>
  <c r="L224" i="41"/>
  <c r="J224" i="41"/>
  <c r="L223" i="41"/>
  <c r="J223" i="41"/>
  <c r="L222" i="41"/>
  <c r="J222" i="41"/>
  <c r="L221" i="41"/>
  <c r="J221" i="41"/>
  <c r="L207" i="41"/>
  <c r="K203" i="41"/>
  <c r="L197" i="41"/>
  <c r="L187" i="41"/>
  <c r="K168" i="41"/>
  <c r="L167" i="41"/>
  <c r="N146" i="41"/>
  <c r="N145" i="41"/>
  <c r="N128" i="41"/>
  <c r="B115" i="41"/>
  <c r="B182" i="41" s="1"/>
  <c r="B297" i="41" s="1"/>
  <c r="L98" i="41"/>
  <c r="A98" i="41"/>
  <c r="A99" i="41" s="1"/>
  <c r="A100" i="41" s="1"/>
  <c r="A101" i="41" s="1"/>
  <c r="A102" i="41" s="1"/>
  <c r="A103" i="41" s="1"/>
  <c r="A104" i="41" s="1"/>
  <c r="A90" i="41"/>
  <c r="A91" i="41" s="1"/>
  <c r="L85" i="41"/>
  <c r="N84" i="41"/>
  <c r="L83" i="41"/>
  <c r="L87" i="41" s="1"/>
  <c r="L112" i="41" s="1"/>
  <c r="N83" i="41"/>
  <c r="F75" i="41"/>
  <c r="N70" i="41"/>
  <c r="N69" i="41"/>
  <c r="L59" i="41"/>
  <c r="J59" i="41"/>
  <c r="H59" i="41"/>
  <c r="F59" i="41"/>
  <c r="F72" i="41" s="1"/>
  <c r="D59" i="41"/>
  <c r="D72" i="41" s="1"/>
  <c r="N57" i="41"/>
  <c r="N68" i="41" s="1"/>
  <c r="N56" i="41"/>
  <c r="N152" i="41" s="1"/>
  <c r="J47" i="41"/>
  <c r="J46" i="41"/>
  <c r="N40" i="41"/>
  <c r="H30" i="41"/>
  <c r="F30" i="41"/>
  <c r="D30" i="41"/>
  <c r="H29" i="41"/>
  <c r="F29" i="41"/>
  <c r="D29" i="41"/>
  <c r="N28" i="41"/>
  <c r="N42" i="41" s="1"/>
  <c r="N87" i="41" l="1"/>
  <c r="K240" i="41"/>
  <c r="K248" i="41"/>
  <c r="K244" i="41"/>
  <c r="N147" i="41"/>
  <c r="K239" i="41"/>
  <c r="K241" i="41"/>
  <c r="K243" i="41"/>
  <c r="K245" i="41"/>
  <c r="K247" i="41"/>
  <c r="K249" i="41"/>
  <c r="L288" i="41"/>
  <c r="N30" i="41"/>
  <c r="N41" i="41"/>
  <c r="N119" i="41"/>
  <c r="N29" i="41"/>
  <c r="N34" i="41" s="1"/>
  <c r="L189" i="41" s="1"/>
  <c r="L190" i="41" s="1"/>
  <c r="N167" i="41"/>
  <c r="M245" i="41"/>
  <c r="M238" i="41"/>
  <c r="M240" i="41"/>
  <c r="M242" i="41"/>
  <c r="M244" i="41"/>
  <c r="M246" i="41"/>
  <c r="M248" i="41"/>
  <c r="M239" i="41"/>
  <c r="M241" i="41"/>
  <c r="M243" i="41"/>
  <c r="M247" i="41"/>
  <c r="M286" i="41"/>
  <c r="L235" i="41"/>
  <c r="M233" i="41" s="1"/>
  <c r="M249" i="41"/>
  <c r="M250" i="41"/>
  <c r="J235" i="41"/>
  <c r="K233" i="41" s="1"/>
  <c r="J288" i="41"/>
  <c r="L191" i="41"/>
  <c r="N175" i="41"/>
  <c r="N177" i="41"/>
  <c r="N173" i="41"/>
  <c r="N104" i="41"/>
  <c r="K231" i="41"/>
  <c r="K229" i="41"/>
  <c r="K225" i="41"/>
  <c r="K223" i="41"/>
  <c r="K221" i="41"/>
  <c r="N59" i="41"/>
  <c r="N72" i="41" s="1"/>
  <c r="N153" i="41" s="1"/>
  <c r="K252" i="41" l="1"/>
  <c r="M221" i="41"/>
  <c r="K227" i="41"/>
  <c r="M224" i="41"/>
  <c r="M225" i="41"/>
  <c r="K222" i="41"/>
  <c r="K224" i="41"/>
  <c r="K226" i="41"/>
  <c r="K228" i="41"/>
  <c r="K230" i="41"/>
  <c r="K232" i="41"/>
  <c r="N111" i="41"/>
  <c r="N112" i="41" s="1"/>
  <c r="M223" i="41"/>
  <c r="M222" i="41"/>
  <c r="M227" i="41"/>
  <c r="M252" i="41"/>
  <c r="M226" i="41"/>
  <c r="M228" i="41"/>
  <c r="M229" i="41"/>
  <c r="M230" i="41"/>
  <c r="M231" i="41"/>
  <c r="M232" i="41"/>
  <c r="N91" i="40"/>
  <c r="N79" i="40"/>
  <c r="N78" i="40"/>
  <c r="K235" i="41" l="1"/>
  <c r="M235" i="41"/>
  <c r="L286" i="40"/>
  <c r="M281" i="40" s="1"/>
  <c r="J286" i="40"/>
  <c r="K283" i="40" s="1"/>
  <c r="M269" i="40"/>
  <c r="L269" i="40"/>
  <c r="L202" i="40" s="1"/>
  <c r="K269" i="40"/>
  <c r="J269" i="40"/>
  <c r="L252" i="40"/>
  <c r="M249" i="40" s="1"/>
  <c r="J252" i="40"/>
  <c r="K250" i="40" s="1"/>
  <c r="M250" i="40"/>
  <c r="M244" i="40"/>
  <c r="M241" i="40"/>
  <c r="M239" i="40"/>
  <c r="L233" i="40"/>
  <c r="J233" i="40"/>
  <c r="L232" i="40"/>
  <c r="J232" i="40"/>
  <c r="L231" i="40"/>
  <c r="J231" i="40"/>
  <c r="L230" i="40"/>
  <c r="J230" i="40"/>
  <c r="L229" i="40"/>
  <c r="J229" i="40"/>
  <c r="L228" i="40"/>
  <c r="J228" i="40"/>
  <c r="L227" i="40"/>
  <c r="J227" i="40"/>
  <c r="L226" i="40"/>
  <c r="J226" i="40"/>
  <c r="L225" i="40"/>
  <c r="J225" i="40"/>
  <c r="L224" i="40"/>
  <c r="J224" i="40"/>
  <c r="L223" i="40"/>
  <c r="J223" i="40"/>
  <c r="L222" i="40"/>
  <c r="J222" i="40"/>
  <c r="L221" i="40"/>
  <c r="J221" i="40"/>
  <c r="L207" i="40"/>
  <c r="K202" i="40"/>
  <c r="L197" i="40"/>
  <c r="L187" i="40"/>
  <c r="K168" i="40"/>
  <c r="L167" i="40"/>
  <c r="N167" i="40" s="1"/>
  <c r="N146" i="40"/>
  <c r="N145" i="40"/>
  <c r="N128" i="40"/>
  <c r="B115" i="40"/>
  <c r="B182" i="40" s="1"/>
  <c r="B297" i="40" s="1"/>
  <c r="L111" i="40"/>
  <c r="L98" i="40"/>
  <c r="A98" i="40"/>
  <c r="A99" i="40" s="1"/>
  <c r="A100" i="40" s="1"/>
  <c r="A101" i="40" s="1"/>
  <c r="A102" i="40" s="1"/>
  <c r="A103" i="40" s="1"/>
  <c r="A104" i="40" s="1"/>
  <c r="A90" i="40"/>
  <c r="A91" i="40" s="1"/>
  <c r="L85" i="40"/>
  <c r="N84" i="40"/>
  <c r="L83" i="40"/>
  <c r="L87" i="40" s="1"/>
  <c r="L112" i="40" s="1"/>
  <c r="F75" i="40"/>
  <c r="N70" i="40"/>
  <c r="N69" i="40"/>
  <c r="L59" i="40"/>
  <c r="J59" i="40"/>
  <c r="H59" i="40"/>
  <c r="F59" i="40"/>
  <c r="F72" i="40" s="1"/>
  <c r="D59" i="40"/>
  <c r="D72" i="40" s="1"/>
  <c r="N57" i="40"/>
  <c r="N68" i="40" s="1"/>
  <c r="N56" i="40"/>
  <c r="N152" i="40" s="1"/>
  <c r="J47" i="40"/>
  <c r="J46" i="40"/>
  <c r="N40" i="40"/>
  <c r="H30" i="40"/>
  <c r="F30" i="40"/>
  <c r="D30" i="40"/>
  <c r="N30" i="40" s="1"/>
  <c r="H29" i="40"/>
  <c r="F29" i="40"/>
  <c r="D29" i="40"/>
  <c r="N28" i="40"/>
  <c r="N119" i="40" s="1"/>
  <c r="L203" i="40" l="1"/>
  <c r="K203" i="40"/>
  <c r="M280" i="40"/>
  <c r="M238" i="40"/>
  <c r="M240" i="40"/>
  <c r="M243" i="40"/>
  <c r="M245" i="40"/>
  <c r="M242" i="40"/>
  <c r="K249" i="40"/>
  <c r="M272" i="40"/>
  <c r="K238" i="40"/>
  <c r="K239" i="40"/>
  <c r="K240" i="40"/>
  <c r="K241" i="40"/>
  <c r="K242" i="40"/>
  <c r="K243" i="40"/>
  <c r="K247" i="40"/>
  <c r="K244" i="40"/>
  <c r="K245" i="40"/>
  <c r="K246" i="40"/>
  <c r="K248" i="40"/>
  <c r="M246" i="40"/>
  <c r="M247" i="40"/>
  <c r="M248" i="40"/>
  <c r="M276" i="40"/>
  <c r="M274" i="40"/>
  <c r="M278" i="40"/>
  <c r="M273" i="40"/>
  <c r="M275" i="40"/>
  <c r="M277" i="40"/>
  <c r="M279" i="40"/>
  <c r="L235" i="40"/>
  <c r="M223" i="40" s="1"/>
  <c r="J235" i="40"/>
  <c r="K223" i="40" s="1"/>
  <c r="J288" i="40"/>
  <c r="N41" i="40"/>
  <c r="N29" i="40"/>
  <c r="N34" i="40" s="1"/>
  <c r="L189" i="40" s="1"/>
  <c r="L190" i="40" s="1"/>
  <c r="N83" i="40"/>
  <c r="N87" i="40" s="1"/>
  <c r="L191" i="40" s="1"/>
  <c r="N147" i="40"/>
  <c r="K272" i="40"/>
  <c r="K273" i="40"/>
  <c r="K274" i="40"/>
  <c r="K275" i="40"/>
  <c r="K276" i="40"/>
  <c r="K277" i="40"/>
  <c r="K278" i="40"/>
  <c r="K279" i="40"/>
  <c r="K280" i="40"/>
  <c r="K281" i="40"/>
  <c r="K282" i="40"/>
  <c r="K284" i="40"/>
  <c r="L288" i="40"/>
  <c r="M229" i="40"/>
  <c r="K224" i="40"/>
  <c r="K226" i="40"/>
  <c r="K229" i="40"/>
  <c r="K232" i="40"/>
  <c r="N42" i="40"/>
  <c r="N59" i="40"/>
  <c r="N72" i="40" s="1"/>
  <c r="N153" i="40" s="1"/>
  <c r="K221" i="40"/>
  <c r="M282" i="40"/>
  <c r="M283" i="40"/>
  <c r="M284" i="40"/>
  <c r="M232" i="40" l="1"/>
  <c r="M252" i="40"/>
  <c r="K252" i="40"/>
  <c r="K233" i="40"/>
  <c r="K230" i="40"/>
  <c r="K228" i="40"/>
  <c r="K225" i="40"/>
  <c r="K222" i="40"/>
  <c r="K231" i="40"/>
  <c r="K227" i="40"/>
  <c r="M221" i="40"/>
  <c r="M233" i="40"/>
  <c r="M231" i="40"/>
  <c r="M222" i="40"/>
  <c r="N173" i="40"/>
  <c r="N177" i="40"/>
  <c r="N175" i="40"/>
  <c r="N104" i="40"/>
  <c r="N111" i="40" s="1"/>
  <c r="N112" i="40" s="1"/>
  <c r="M227" i="40"/>
  <c r="M230" i="40"/>
  <c r="M228" i="40"/>
  <c r="M226" i="40"/>
  <c r="M225" i="40"/>
  <c r="M224" i="40"/>
  <c r="M286" i="40"/>
  <c r="K286" i="40"/>
  <c r="N91" i="39"/>
  <c r="N79" i="39"/>
  <c r="N78" i="39"/>
  <c r="L77" i="39"/>
  <c r="K235" i="40" l="1"/>
  <c r="M235" i="40"/>
  <c r="L286" i="39"/>
  <c r="M283" i="39" s="1"/>
  <c r="J286" i="39"/>
  <c r="K203" i="39" s="1"/>
  <c r="M277" i="39"/>
  <c r="K277" i="39"/>
  <c r="M269" i="39"/>
  <c r="L269" i="39"/>
  <c r="L202" i="39" s="1"/>
  <c r="K269" i="39"/>
  <c r="J269" i="39"/>
  <c r="K202" i="39" s="1"/>
  <c r="L252" i="39"/>
  <c r="M250" i="39" s="1"/>
  <c r="J252" i="39"/>
  <c r="K250" i="39" s="1"/>
  <c r="M243" i="39"/>
  <c r="M239" i="39"/>
  <c r="L233" i="39"/>
  <c r="J233" i="39"/>
  <c r="L232" i="39"/>
  <c r="J232" i="39"/>
  <c r="L231" i="39"/>
  <c r="J231" i="39"/>
  <c r="L230" i="39"/>
  <c r="J230" i="39"/>
  <c r="L229" i="39"/>
  <c r="J229" i="39"/>
  <c r="L228" i="39"/>
  <c r="J228" i="39"/>
  <c r="L227" i="39"/>
  <c r="J227" i="39"/>
  <c r="L226" i="39"/>
  <c r="J226" i="39"/>
  <c r="L225" i="39"/>
  <c r="J225" i="39"/>
  <c r="L224" i="39"/>
  <c r="J224" i="39"/>
  <c r="L223" i="39"/>
  <c r="J223" i="39"/>
  <c r="L222" i="39"/>
  <c r="J222" i="39"/>
  <c r="L221" i="39"/>
  <c r="J221" i="39"/>
  <c r="L207" i="39"/>
  <c r="L197" i="39"/>
  <c r="L187" i="39"/>
  <c r="K168" i="39"/>
  <c r="L167" i="39"/>
  <c r="N167" i="39" s="1"/>
  <c r="N146" i="39"/>
  <c r="N145" i="39"/>
  <c r="N128" i="39"/>
  <c r="B115" i="39"/>
  <c r="B182" i="39" s="1"/>
  <c r="B298" i="39" s="1"/>
  <c r="L111" i="39"/>
  <c r="L98" i="39"/>
  <c r="A98" i="39"/>
  <c r="A99" i="39" s="1"/>
  <c r="A100" i="39" s="1"/>
  <c r="A101" i="39" s="1"/>
  <c r="A102" i="39" s="1"/>
  <c r="A103" i="39" s="1"/>
  <c r="A104" i="39" s="1"/>
  <c r="A90" i="39"/>
  <c r="A91" i="39" s="1"/>
  <c r="L85" i="39"/>
  <c r="N84" i="39"/>
  <c r="N83" i="39"/>
  <c r="L83" i="39"/>
  <c r="L87" i="39" s="1"/>
  <c r="F75" i="39"/>
  <c r="N70" i="39"/>
  <c r="N69" i="39"/>
  <c r="L59" i="39"/>
  <c r="J59" i="39"/>
  <c r="H59" i="39"/>
  <c r="F59" i="39"/>
  <c r="F72" i="39" s="1"/>
  <c r="D59" i="39"/>
  <c r="D72" i="39" s="1"/>
  <c r="N57" i="39"/>
  <c r="N68" i="39" s="1"/>
  <c r="N56" i="39"/>
  <c r="N152" i="39" s="1"/>
  <c r="J47" i="39"/>
  <c r="J46" i="39"/>
  <c r="N40" i="39"/>
  <c r="H30" i="39"/>
  <c r="F30" i="39"/>
  <c r="D30" i="39"/>
  <c r="H29" i="39"/>
  <c r="F29" i="39"/>
  <c r="D29" i="39"/>
  <c r="N28" i="39"/>
  <c r="N119" i="39" s="1"/>
  <c r="K241" i="39" l="1"/>
  <c r="K245" i="39"/>
  <c r="M241" i="39"/>
  <c r="M245" i="39"/>
  <c r="K273" i="39"/>
  <c r="K281" i="39"/>
  <c r="K239" i="39"/>
  <c r="K243" i="39"/>
  <c r="M247" i="39"/>
  <c r="M273" i="39"/>
  <c r="M281" i="39"/>
  <c r="K247" i="39"/>
  <c r="K238" i="39"/>
  <c r="K240" i="39"/>
  <c r="K242" i="39"/>
  <c r="K244" i="39"/>
  <c r="K246" i="39"/>
  <c r="K248" i="39"/>
  <c r="K272" i="39"/>
  <c r="K275" i="39"/>
  <c r="K279" i="39"/>
  <c r="K283" i="39"/>
  <c r="M238" i="39"/>
  <c r="M240" i="39"/>
  <c r="M242" i="39"/>
  <c r="M244" i="39"/>
  <c r="M246" i="39"/>
  <c r="K249" i="39"/>
  <c r="M272" i="39"/>
  <c r="M276" i="39"/>
  <c r="M280" i="39"/>
  <c r="M284" i="39"/>
  <c r="N29" i="39"/>
  <c r="N34" i="39" s="1"/>
  <c r="L189" i="39" s="1"/>
  <c r="L190" i="39" s="1"/>
  <c r="N41" i="39"/>
  <c r="L203" i="39"/>
  <c r="M274" i="39"/>
  <c r="M275" i="39"/>
  <c r="M278" i="39"/>
  <c r="M279" i="39"/>
  <c r="M282" i="39"/>
  <c r="M248" i="39"/>
  <c r="K274" i="39"/>
  <c r="K276" i="39"/>
  <c r="K278" i="39"/>
  <c r="K280" i="39"/>
  <c r="K282" i="39"/>
  <c r="K284" i="39"/>
  <c r="N87" i="39"/>
  <c r="L191" i="39" s="1"/>
  <c r="L112" i="39"/>
  <c r="N147" i="39"/>
  <c r="L235" i="39"/>
  <c r="M233" i="39" s="1"/>
  <c r="M249" i="39"/>
  <c r="L288" i="39"/>
  <c r="J235" i="39"/>
  <c r="K233" i="39" s="1"/>
  <c r="J288" i="39"/>
  <c r="M232" i="39"/>
  <c r="M226" i="39"/>
  <c r="M224" i="39"/>
  <c r="K226" i="39"/>
  <c r="N30" i="39"/>
  <c r="N42" i="39"/>
  <c r="N59" i="39"/>
  <c r="N72" i="39" s="1"/>
  <c r="N153" i="39" s="1"/>
  <c r="N91" i="38"/>
  <c r="N79" i="38"/>
  <c r="N78" i="38"/>
  <c r="L77" i="38"/>
  <c r="M228" i="39" l="1"/>
  <c r="K252" i="39"/>
  <c r="M222" i="39"/>
  <c r="M230" i="39"/>
  <c r="K230" i="39"/>
  <c r="N173" i="39"/>
  <c r="K228" i="39"/>
  <c r="K222" i="39"/>
  <c r="K224" i="39"/>
  <c r="K232" i="39"/>
  <c r="M286" i="39"/>
  <c r="M221" i="39"/>
  <c r="M223" i="39"/>
  <c r="M225" i="39"/>
  <c r="M227" i="39"/>
  <c r="M229" i="39"/>
  <c r="M231" i="39"/>
  <c r="N175" i="39"/>
  <c r="M252" i="39"/>
  <c r="K286" i="39"/>
  <c r="K221" i="39"/>
  <c r="K223" i="39"/>
  <c r="K225" i="39"/>
  <c r="K227" i="39"/>
  <c r="K229" i="39"/>
  <c r="K231" i="39"/>
  <c r="N104" i="39"/>
  <c r="N111" i="39" s="1"/>
  <c r="N112" i="39" s="1"/>
  <c r="N177" i="39"/>
  <c r="J221" i="38"/>
  <c r="J222" i="38"/>
  <c r="J223" i="38"/>
  <c r="J224" i="38"/>
  <c r="J225" i="38"/>
  <c r="J226" i="38"/>
  <c r="J227" i="38"/>
  <c r="J228" i="38"/>
  <c r="J229" i="38"/>
  <c r="J230" i="38"/>
  <c r="J231" i="38"/>
  <c r="J232" i="38"/>
  <c r="J233" i="38"/>
  <c r="L221" i="38"/>
  <c r="L222" i="38"/>
  <c r="L223" i="38"/>
  <c r="L224" i="38"/>
  <c r="L225" i="38"/>
  <c r="L226" i="38"/>
  <c r="L227" i="38"/>
  <c r="L228" i="38"/>
  <c r="L229" i="38"/>
  <c r="L230" i="38"/>
  <c r="L231" i="38"/>
  <c r="L232" i="38"/>
  <c r="L233" i="38"/>
  <c r="M235" i="39" l="1"/>
  <c r="K235" i="39"/>
  <c r="L286" i="38"/>
  <c r="M284" i="38" s="1"/>
  <c r="J286" i="38"/>
  <c r="K284" i="38" s="1"/>
  <c r="M269" i="38"/>
  <c r="L269" i="38"/>
  <c r="L202" i="38" s="1"/>
  <c r="K269" i="38"/>
  <c r="J269" i="38"/>
  <c r="K202" i="38" s="1"/>
  <c r="L252" i="38"/>
  <c r="J252" i="38"/>
  <c r="K250" i="38" s="1"/>
  <c r="L235" i="38"/>
  <c r="J235" i="38"/>
  <c r="L207" i="38"/>
  <c r="L197" i="38"/>
  <c r="L187" i="38"/>
  <c r="K168" i="38"/>
  <c r="L167" i="38"/>
  <c r="N167" i="38" s="1"/>
  <c r="N146" i="38"/>
  <c r="N145" i="38"/>
  <c r="N128" i="38"/>
  <c r="B115" i="38"/>
  <c r="B182" i="38" s="1"/>
  <c r="B298" i="38" s="1"/>
  <c r="L111" i="38"/>
  <c r="L98" i="38"/>
  <c r="A98" i="38"/>
  <c r="A99" i="38" s="1"/>
  <c r="A100" i="38" s="1"/>
  <c r="A101" i="38" s="1"/>
  <c r="A102" i="38" s="1"/>
  <c r="A103" i="38" s="1"/>
  <c r="A104" i="38" s="1"/>
  <c r="A90" i="38"/>
  <c r="A91" i="38" s="1"/>
  <c r="L85" i="38"/>
  <c r="N84" i="38"/>
  <c r="L83" i="38"/>
  <c r="N83" i="38"/>
  <c r="N87" i="38" s="1"/>
  <c r="N173" i="38" s="1"/>
  <c r="F75" i="38"/>
  <c r="N70" i="38"/>
  <c r="N69" i="38"/>
  <c r="L59" i="38"/>
  <c r="J59" i="38"/>
  <c r="H59" i="38"/>
  <c r="F59" i="38"/>
  <c r="F72" i="38" s="1"/>
  <c r="D59" i="38"/>
  <c r="D72" i="38" s="1"/>
  <c r="N57" i="38"/>
  <c r="N68" i="38" s="1"/>
  <c r="N56" i="38"/>
  <c r="N152" i="38" s="1"/>
  <c r="J47" i="38"/>
  <c r="J46" i="38"/>
  <c r="N40" i="38"/>
  <c r="H30" i="38"/>
  <c r="F30" i="38"/>
  <c r="D30" i="38"/>
  <c r="H29" i="38"/>
  <c r="F29" i="38"/>
  <c r="D29" i="38"/>
  <c r="N28" i="38"/>
  <c r="N42" i="38" s="1"/>
  <c r="L87" i="38" l="1"/>
  <c r="M273" i="38"/>
  <c r="K281" i="38"/>
  <c r="K239" i="38"/>
  <c r="K243" i="38"/>
  <c r="K272" i="38"/>
  <c r="K247" i="38"/>
  <c r="N30" i="38"/>
  <c r="M277" i="38"/>
  <c r="K275" i="38"/>
  <c r="K241" i="38"/>
  <c r="K245" i="38"/>
  <c r="K249" i="38"/>
  <c r="K276" i="38"/>
  <c r="K279" i="38"/>
  <c r="K283" i="38"/>
  <c r="N29" i="38"/>
  <c r="N34" i="38" s="1"/>
  <c r="L189" i="38" s="1"/>
  <c r="L190" i="38" s="1"/>
  <c r="N119" i="38"/>
  <c r="K203" i="38"/>
  <c r="K238" i="38"/>
  <c r="K240" i="38"/>
  <c r="K242" i="38"/>
  <c r="K244" i="38"/>
  <c r="K246" i="38"/>
  <c r="K248" i="38"/>
  <c r="K273" i="38"/>
  <c r="K274" i="38"/>
  <c r="M275" i="38"/>
  <c r="K277" i="38"/>
  <c r="K278" i="38"/>
  <c r="K280" i="38"/>
  <c r="K282" i="38"/>
  <c r="L288" i="38"/>
  <c r="M279" i="38"/>
  <c r="M281" i="38"/>
  <c r="M283" i="38"/>
  <c r="L203" i="38"/>
  <c r="M272" i="38"/>
  <c r="M274" i="38"/>
  <c r="M276" i="38"/>
  <c r="M278" i="38"/>
  <c r="M280" i="38"/>
  <c r="M282" i="38"/>
  <c r="L112" i="38"/>
  <c r="N147" i="38"/>
  <c r="N41" i="38"/>
  <c r="M238" i="38"/>
  <c r="M239" i="38"/>
  <c r="M240" i="38"/>
  <c r="M241" i="38"/>
  <c r="M242" i="38"/>
  <c r="M243" i="38"/>
  <c r="M244" i="38"/>
  <c r="M245" i="38"/>
  <c r="M246" i="38"/>
  <c r="M247" i="38"/>
  <c r="M248" i="38"/>
  <c r="M249" i="38"/>
  <c r="M250" i="38"/>
  <c r="J288" i="38"/>
  <c r="L191" i="38"/>
  <c r="N175" i="38"/>
  <c r="N177" i="38"/>
  <c r="N104" i="38"/>
  <c r="N111" i="38" s="1"/>
  <c r="N112" i="38" s="1"/>
  <c r="M233" i="38"/>
  <c r="M232" i="38"/>
  <c r="M231" i="38"/>
  <c r="M230" i="38"/>
  <c r="M229" i="38"/>
  <c r="M228" i="38"/>
  <c r="M227" i="38"/>
  <c r="M226" i="38"/>
  <c r="M225" i="38"/>
  <c r="M224" i="38"/>
  <c r="M223" i="38"/>
  <c r="M222" i="38"/>
  <c r="M221" i="38"/>
  <c r="K233" i="38"/>
  <c r="K232" i="38"/>
  <c r="K231" i="38"/>
  <c r="K230" i="38"/>
  <c r="K229" i="38"/>
  <c r="K228" i="38"/>
  <c r="K227" i="38"/>
  <c r="K226" i="38"/>
  <c r="K225" i="38"/>
  <c r="K224" i="38"/>
  <c r="K223" i="38"/>
  <c r="K222" i="38"/>
  <c r="K221" i="38"/>
  <c r="N59" i="38"/>
  <c r="N72" i="38" s="1"/>
  <c r="N153" i="38" s="1"/>
  <c r="N91" i="37"/>
  <c r="N79" i="37"/>
  <c r="N78" i="37"/>
  <c r="K286" i="38" l="1"/>
  <c r="K252" i="38"/>
  <c r="M286" i="38"/>
  <c r="M252" i="38"/>
  <c r="K235" i="38"/>
  <c r="M235" i="38"/>
  <c r="L286" i="37"/>
  <c r="M283" i="37" s="1"/>
  <c r="J286" i="37"/>
  <c r="K284" i="37" s="1"/>
  <c r="M272" i="37"/>
  <c r="M269" i="37"/>
  <c r="L269" i="37"/>
  <c r="K269" i="37"/>
  <c r="J269" i="37"/>
  <c r="K202" i="37" s="1"/>
  <c r="L252" i="37"/>
  <c r="M250" i="37" s="1"/>
  <c r="J252" i="37"/>
  <c r="K250" i="37" s="1"/>
  <c r="L233" i="37"/>
  <c r="J233" i="37"/>
  <c r="L232" i="37"/>
  <c r="J232" i="37"/>
  <c r="L231" i="37"/>
  <c r="J231" i="37"/>
  <c r="L230" i="37"/>
  <c r="J230" i="37"/>
  <c r="L229" i="37"/>
  <c r="J229" i="37"/>
  <c r="L228" i="37"/>
  <c r="J228" i="37"/>
  <c r="L227" i="37"/>
  <c r="J227" i="37"/>
  <c r="L226" i="37"/>
  <c r="J226" i="37"/>
  <c r="L225" i="37"/>
  <c r="J225" i="37"/>
  <c r="L224" i="37"/>
  <c r="J224" i="37"/>
  <c r="L223" i="37"/>
  <c r="J223" i="37"/>
  <c r="L222" i="37"/>
  <c r="J222" i="37"/>
  <c r="L221" i="37"/>
  <c r="J221" i="37"/>
  <c r="J235" i="37" s="1"/>
  <c r="L207" i="37"/>
  <c r="L202" i="37"/>
  <c r="L197" i="37"/>
  <c r="L187" i="37"/>
  <c r="K168" i="37"/>
  <c r="L167" i="37"/>
  <c r="N146" i="37"/>
  <c r="N145" i="37"/>
  <c r="N128" i="37"/>
  <c r="B115" i="37"/>
  <c r="B182" i="37" s="1"/>
  <c r="B298" i="37" s="1"/>
  <c r="L111" i="37"/>
  <c r="L98" i="37"/>
  <c r="A98" i="37"/>
  <c r="A99" i="37" s="1"/>
  <c r="A100" i="37" s="1"/>
  <c r="A101" i="37" s="1"/>
  <c r="A102" i="37" s="1"/>
  <c r="A103" i="37" s="1"/>
  <c r="A104" i="37" s="1"/>
  <c r="A90" i="37"/>
  <c r="A91" i="37" s="1"/>
  <c r="L85" i="37"/>
  <c r="N84" i="37"/>
  <c r="L83" i="37"/>
  <c r="N83" i="37"/>
  <c r="F75" i="37"/>
  <c r="N70" i="37"/>
  <c r="N69" i="37"/>
  <c r="L59" i="37"/>
  <c r="J59" i="37"/>
  <c r="H59" i="37"/>
  <c r="F59" i="37"/>
  <c r="F72" i="37" s="1"/>
  <c r="D59" i="37"/>
  <c r="D72" i="37" s="1"/>
  <c r="N57" i="37"/>
  <c r="N68" i="37" s="1"/>
  <c r="N56" i="37"/>
  <c r="N152" i="37" s="1"/>
  <c r="J47" i="37"/>
  <c r="J46" i="37"/>
  <c r="N40" i="37"/>
  <c r="H30" i="37"/>
  <c r="F30" i="37"/>
  <c r="D30" i="37"/>
  <c r="H29" i="37"/>
  <c r="F29" i="37"/>
  <c r="D29" i="37"/>
  <c r="N28" i="37"/>
  <c r="N119" i="37" s="1"/>
  <c r="N87" i="37" l="1"/>
  <c r="L235" i="37"/>
  <c r="M223" i="37" s="1"/>
  <c r="M276" i="37"/>
  <c r="L203" i="37"/>
  <c r="M277" i="37"/>
  <c r="N29" i="37"/>
  <c r="N34" i="37" s="1"/>
  <c r="L189" i="37" s="1"/>
  <c r="L190" i="37" s="1"/>
  <c r="L87" i="37"/>
  <c r="L112" i="37" s="1"/>
  <c r="M249" i="37"/>
  <c r="M273" i="37"/>
  <c r="M280" i="37"/>
  <c r="M274" i="37"/>
  <c r="M281" i="37"/>
  <c r="M278" i="37"/>
  <c r="M282" i="37"/>
  <c r="M275" i="37"/>
  <c r="M279" i="37"/>
  <c r="N30" i="37"/>
  <c r="N41" i="37"/>
  <c r="K203" i="37"/>
  <c r="K272" i="37"/>
  <c r="K273" i="37"/>
  <c r="K274" i="37"/>
  <c r="K275" i="37"/>
  <c r="K276" i="37"/>
  <c r="K277" i="37"/>
  <c r="K278" i="37"/>
  <c r="K279" i="37"/>
  <c r="K280" i="37"/>
  <c r="K281" i="37"/>
  <c r="K282" i="37"/>
  <c r="K283" i="37"/>
  <c r="M241" i="37"/>
  <c r="M245" i="37"/>
  <c r="M239" i="37"/>
  <c r="M243" i="37"/>
  <c r="M247" i="37"/>
  <c r="M238" i="37"/>
  <c r="M240" i="37"/>
  <c r="M242" i="37"/>
  <c r="M244" i="37"/>
  <c r="M246" i="37"/>
  <c r="M248" i="37"/>
  <c r="L288" i="37"/>
  <c r="K238" i="37"/>
  <c r="K239" i="37"/>
  <c r="K240" i="37"/>
  <c r="K241" i="37"/>
  <c r="K242" i="37"/>
  <c r="K243" i="37"/>
  <c r="K244" i="37"/>
  <c r="K245" i="37"/>
  <c r="K246" i="37"/>
  <c r="K247" i="37"/>
  <c r="K248" i="37"/>
  <c r="K249" i="37"/>
  <c r="J288" i="37"/>
  <c r="N147" i="37"/>
  <c r="K222" i="37"/>
  <c r="K223" i="37"/>
  <c r="K224" i="37"/>
  <c r="K225" i="37"/>
  <c r="K226" i="37"/>
  <c r="K227" i="37"/>
  <c r="K228" i="37"/>
  <c r="K229" i="37"/>
  <c r="K230" i="37"/>
  <c r="K231" i="37"/>
  <c r="K232" i="37"/>
  <c r="K233" i="37"/>
  <c r="L191" i="37"/>
  <c r="N175" i="37"/>
  <c r="N177" i="37"/>
  <c r="N173" i="37"/>
  <c r="N104" i="37"/>
  <c r="N111" i="37" s="1"/>
  <c r="N112" i="37" s="1"/>
  <c r="M222" i="37"/>
  <c r="M224" i="37"/>
  <c r="M225" i="37"/>
  <c r="M226" i="37"/>
  <c r="M228" i="37"/>
  <c r="M229" i="37"/>
  <c r="M230" i="37"/>
  <c r="M232" i="37"/>
  <c r="M233" i="37"/>
  <c r="N42" i="37"/>
  <c r="N59" i="37"/>
  <c r="N72" i="37" s="1"/>
  <c r="N153" i="37" s="1"/>
  <c r="N167" i="37"/>
  <c r="K221" i="37"/>
  <c r="M221" i="37"/>
  <c r="M284" i="37"/>
  <c r="L252" i="36"/>
  <c r="J252" i="36"/>
  <c r="M231" i="37" l="1"/>
  <c r="M227" i="37"/>
  <c r="M286" i="37"/>
  <c r="K286" i="37"/>
  <c r="M252" i="37"/>
  <c r="M235" i="37"/>
  <c r="K252" i="37"/>
  <c r="K235" i="37"/>
  <c r="N91" i="36" l="1"/>
  <c r="N79" i="36"/>
  <c r="N78" i="36"/>
  <c r="L77" i="36"/>
  <c r="F75" i="36" l="1"/>
  <c r="L286" i="36"/>
  <c r="J286" i="36"/>
  <c r="K284" i="36" s="1"/>
  <c r="K281" i="36"/>
  <c r="M269" i="36"/>
  <c r="L269" i="36"/>
  <c r="L202" i="36" s="1"/>
  <c r="K269" i="36"/>
  <c r="J269" i="36"/>
  <c r="K202" i="36" s="1"/>
  <c r="K250" i="36"/>
  <c r="K249" i="36"/>
  <c r="K247" i="36"/>
  <c r="K245" i="36"/>
  <c r="K243" i="36"/>
  <c r="K241" i="36"/>
  <c r="K239" i="36"/>
  <c r="L233" i="36"/>
  <c r="J233" i="36"/>
  <c r="L232" i="36"/>
  <c r="J232" i="36"/>
  <c r="L231" i="36"/>
  <c r="J231" i="36"/>
  <c r="L230" i="36"/>
  <c r="J230" i="36"/>
  <c r="L229" i="36"/>
  <c r="J229" i="36"/>
  <c r="L228" i="36"/>
  <c r="J228" i="36"/>
  <c r="L227" i="36"/>
  <c r="J227" i="36"/>
  <c r="L226" i="36"/>
  <c r="J226" i="36"/>
  <c r="L225" i="36"/>
  <c r="J225" i="36"/>
  <c r="L224" i="36"/>
  <c r="J224" i="36"/>
  <c r="L223" i="36"/>
  <c r="J223" i="36"/>
  <c r="L222" i="36"/>
  <c r="J222" i="36"/>
  <c r="L221" i="36"/>
  <c r="J221" i="36"/>
  <c r="L207" i="36"/>
  <c r="L197" i="36"/>
  <c r="L187" i="36"/>
  <c r="K168" i="36"/>
  <c r="L167" i="36"/>
  <c r="N146" i="36"/>
  <c r="N145" i="36"/>
  <c r="N128" i="36"/>
  <c r="B115" i="36"/>
  <c r="B182" i="36" s="1"/>
  <c r="B298" i="36" s="1"/>
  <c r="L111" i="36"/>
  <c r="L98" i="36"/>
  <c r="A98" i="36"/>
  <c r="A99" i="36" s="1"/>
  <c r="A100" i="36" s="1"/>
  <c r="A101" i="36" s="1"/>
  <c r="A102" i="36" s="1"/>
  <c r="A103" i="36" s="1"/>
  <c r="A104" i="36" s="1"/>
  <c r="A90" i="36"/>
  <c r="A91" i="36" s="1"/>
  <c r="L85" i="36"/>
  <c r="N84" i="36"/>
  <c r="L83" i="36"/>
  <c r="N83" i="36"/>
  <c r="N70" i="36"/>
  <c r="N69" i="36"/>
  <c r="L59" i="36"/>
  <c r="J59" i="36"/>
  <c r="H59" i="36"/>
  <c r="F59" i="36"/>
  <c r="F72" i="36" s="1"/>
  <c r="D59" i="36"/>
  <c r="D72" i="36" s="1"/>
  <c r="N57" i="36"/>
  <c r="N68" i="36" s="1"/>
  <c r="N56" i="36"/>
  <c r="N152" i="36" s="1"/>
  <c r="J47" i="36"/>
  <c r="J46" i="36"/>
  <c r="N40" i="36"/>
  <c r="H30" i="36"/>
  <c r="F30" i="36"/>
  <c r="D30" i="36"/>
  <c r="H29" i="36"/>
  <c r="F29" i="36"/>
  <c r="D29" i="36"/>
  <c r="N28" i="36"/>
  <c r="N119" i="36" s="1"/>
  <c r="L87" i="36" l="1"/>
  <c r="N30" i="36"/>
  <c r="K273" i="36"/>
  <c r="N29" i="36"/>
  <c r="N34" i="36" s="1"/>
  <c r="L189" i="36" s="1"/>
  <c r="L190" i="36" s="1"/>
  <c r="K277" i="36"/>
  <c r="N41" i="36"/>
  <c r="K203" i="36"/>
  <c r="K275" i="36"/>
  <c r="K279" i="36"/>
  <c r="K283" i="36"/>
  <c r="L112" i="36"/>
  <c r="K238" i="36"/>
  <c r="K240" i="36"/>
  <c r="K242" i="36"/>
  <c r="K244" i="36"/>
  <c r="K246" i="36"/>
  <c r="K248" i="36"/>
  <c r="N42" i="36"/>
  <c r="N59" i="36"/>
  <c r="N72" i="36" s="1"/>
  <c r="N153" i="36" s="1"/>
  <c r="N87" i="36"/>
  <c r="N167" i="36"/>
  <c r="J235" i="36"/>
  <c r="K222" i="36" s="1"/>
  <c r="M250" i="36"/>
  <c r="M249" i="36"/>
  <c r="M248" i="36"/>
  <c r="M247" i="36"/>
  <c r="M246" i="36"/>
  <c r="M245" i="36"/>
  <c r="M244" i="36"/>
  <c r="M243" i="36"/>
  <c r="M242" i="36"/>
  <c r="M241" i="36"/>
  <c r="M240" i="36"/>
  <c r="M239" i="36"/>
  <c r="M238" i="36"/>
  <c r="J288" i="36"/>
  <c r="N147" i="36"/>
  <c r="L235" i="36"/>
  <c r="M222" i="36" s="1"/>
  <c r="K272" i="36"/>
  <c r="K274" i="36"/>
  <c r="K276" i="36"/>
  <c r="K278" i="36"/>
  <c r="K280" i="36"/>
  <c r="K282" i="36"/>
  <c r="L288" i="36"/>
  <c r="M284" i="36"/>
  <c r="M283" i="36"/>
  <c r="M282" i="36"/>
  <c r="M281" i="36"/>
  <c r="M280" i="36"/>
  <c r="M279" i="36"/>
  <c r="M278" i="36"/>
  <c r="M277" i="36"/>
  <c r="M276" i="36"/>
  <c r="M275" i="36"/>
  <c r="M274" i="36"/>
  <c r="M273" i="36"/>
  <c r="M272" i="36"/>
  <c r="L203" i="36"/>
  <c r="N91" i="35"/>
  <c r="N79" i="35"/>
  <c r="N78" i="35"/>
  <c r="M252" i="36" l="1"/>
  <c r="K252" i="36"/>
  <c r="M233" i="36"/>
  <c r="M225" i="36"/>
  <c r="M229" i="36"/>
  <c r="M221" i="36"/>
  <c r="M231" i="36"/>
  <c r="M227" i="36"/>
  <c r="M223" i="36"/>
  <c r="K231" i="36"/>
  <c r="K227" i="36"/>
  <c r="K223" i="36"/>
  <c r="K233" i="36"/>
  <c r="K229" i="36"/>
  <c r="K225" i="36"/>
  <c r="K221" i="36"/>
  <c r="K286" i="36"/>
  <c r="M286" i="36"/>
  <c r="M232" i="36"/>
  <c r="M230" i="36"/>
  <c r="M228" i="36"/>
  <c r="M226" i="36"/>
  <c r="M224" i="36"/>
  <c r="K232" i="36"/>
  <c r="K230" i="36"/>
  <c r="K228" i="36"/>
  <c r="K226" i="36"/>
  <c r="K224" i="36"/>
  <c r="K235" i="36" s="1"/>
  <c r="N177" i="36"/>
  <c r="N173" i="36"/>
  <c r="N104" i="36"/>
  <c r="N111" i="36" s="1"/>
  <c r="N112" i="36" s="1"/>
  <c r="L191" i="36"/>
  <c r="N175" i="36"/>
  <c r="L286" i="35"/>
  <c r="M283" i="35" s="1"/>
  <c r="J286" i="35"/>
  <c r="K284" i="35" s="1"/>
  <c r="M284" i="35"/>
  <c r="M277" i="35"/>
  <c r="K277" i="35"/>
  <c r="M272" i="35"/>
  <c r="M269" i="35"/>
  <c r="L269" i="35"/>
  <c r="L202" i="35" s="1"/>
  <c r="K269" i="35"/>
  <c r="J269" i="35"/>
  <c r="K202" i="35" s="1"/>
  <c r="L252" i="35"/>
  <c r="M250" i="35" s="1"/>
  <c r="J252" i="35"/>
  <c r="K250" i="35" s="1"/>
  <c r="L233" i="35"/>
  <c r="J233" i="35"/>
  <c r="L232" i="35"/>
  <c r="J232" i="35"/>
  <c r="L231" i="35"/>
  <c r="J231" i="35"/>
  <c r="L230" i="35"/>
  <c r="J230" i="35"/>
  <c r="L229" i="35"/>
  <c r="J229" i="35"/>
  <c r="L228" i="35"/>
  <c r="J228" i="35"/>
  <c r="L227" i="35"/>
  <c r="J227" i="35"/>
  <c r="L226" i="35"/>
  <c r="J226" i="35"/>
  <c r="L225" i="35"/>
  <c r="J225" i="35"/>
  <c r="L224" i="35"/>
  <c r="J224" i="35"/>
  <c r="L223" i="35"/>
  <c r="J223" i="35"/>
  <c r="L222" i="35"/>
  <c r="J222" i="35"/>
  <c r="L221" i="35"/>
  <c r="J221" i="35"/>
  <c r="L207" i="35"/>
  <c r="L203" i="35"/>
  <c r="L197" i="35"/>
  <c r="L187" i="35"/>
  <c r="K168" i="35"/>
  <c r="L167" i="35"/>
  <c r="N167" i="35" s="1"/>
  <c r="N146" i="35"/>
  <c r="N145" i="35"/>
  <c r="N128" i="35"/>
  <c r="B115" i="35"/>
  <c r="B182" i="35" s="1"/>
  <c r="B298" i="35" s="1"/>
  <c r="L111" i="35"/>
  <c r="L98" i="35"/>
  <c r="A98" i="35"/>
  <c r="A99" i="35" s="1"/>
  <c r="A100" i="35" s="1"/>
  <c r="A101" i="35" s="1"/>
  <c r="A102" i="35" s="1"/>
  <c r="A103" i="35" s="1"/>
  <c r="A104" i="35" s="1"/>
  <c r="A90" i="35"/>
  <c r="A91" i="35" s="1"/>
  <c r="L85" i="35"/>
  <c r="N84" i="35"/>
  <c r="N83" i="35"/>
  <c r="L83" i="35"/>
  <c r="F75" i="35"/>
  <c r="N70" i="35"/>
  <c r="N69" i="35"/>
  <c r="L59" i="35"/>
  <c r="J59" i="35"/>
  <c r="H59" i="35"/>
  <c r="F59" i="35"/>
  <c r="F72" i="35" s="1"/>
  <c r="D59" i="35"/>
  <c r="D72" i="35" s="1"/>
  <c r="N57" i="35"/>
  <c r="N68" i="35" s="1"/>
  <c r="N56" i="35"/>
  <c r="N152" i="35" s="1"/>
  <c r="J47" i="35"/>
  <c r="J46" i="35"/>
  <c r="N40" i="35"/>
  <c r="H30" i="35"/>
  <c r="F30" i="35"/>
  <c r="D30" i="35"/>
  <c r="H29" i="35"/>
  <c r="F29" i="35"/>
  <c r="D29" i="35"/>
  <c r="N28" i="35"/>
  <c r="N119" i="35" s="1"/>
  <c r="K279" i="35" l="1"/>
  <c r="M276" i="35"/>
  <c r="M280" i="35"/>
  <c r="N87" i="35"/>
  <c r="L191" i="35" s="1"/>
  <c r="M274" i="35"/>
  <c r="M282" i="35"/>
  <c r="L87" i="35"/>
  <c r="L112" i="35" s="1"/>
  <c r="N147" i="35"/>
  <c r="M235" i="36"/>
  <c r="N59" i="35"/>
  <c r="N72" i="35" s="1"/>
  <c r="N153" i="35" s="1"/>
  <c r="N29" i="35"/>
  <c r="N34" i="35" s="1"/>
  <c r="L189" i="35" s="1"/>
  <c r="L190" i="35" s="1"/>
  <c r="M275" i="35"/>
  <c r="M278" i="35"/>
  <c r="M281" i="35"/>
  <c r="M273" i="35"/>
  <c r="M279" i="35"/>
  <c r="K275" i="35"/>
  <c r="K283" i="35"/>
  <c r="K203" i="35"/>
  <c r="K273" i="35"/>
  <c r="K281" i="35"/>
  <c r="L288" i="35"/>
  <c r="L235" i="35"/>
  <c r="M231" i="35" s="1"/>
  <c r="M243" i="35"/>
  <c r="M245" i="35"/>
  <c r="M239" i="35"/>
  <c r="M247" i="35"/>
  <c r="M241" i="35"/>
  <c r="M249" i="35"/>
  <c r="K243" i="35"/>
  <c r="K240" i="35"/>
  <c r="K248" i="35"/>
  <c r="K241" i="35"/>
  <c r="K249" i="35"/>
  <c r="K238" i="35"/>
  <c r="K246" i="35"/>
  <c r="K239" i="35"/>
  <c r="K244" i="35"/>
  <c r="K247" i="35"/>
  <c r="K242" i="35"/>
  <c r="K245" i="35"/>
  <c r="N30" i="35"/>
  <c r="N41" i="35"/>
  <c r="N175" i="35"/>
  <c r="J235" i="35"/>
  <c r="K228" i="35" s="1"/>
  <c r="J288" i="35"/>
  <c r="N42" i="35"/>
  <c r="M238" i="35"/>
  <c r="M240" i="35"/>
  <c r="M242" i="35"/>
  <c r="M244" i="35"/>
  <c r="M246" i="35"/>
  <c r="M248" i="35"/>
  <c r="K272" i="35"/>
  <c r="K274" i="35"/>
  <c r="K276" i="35"/>
  <c r="K278" i="35"/>
  <c r="K280" i="35"/>
  <c r="K282" i="35"/>
  <c r="N104" i="35" l="1"/>
  <c r="N111" i="35" s="1"/>
  <c r="N112" i="35" s="1"/>
  <c r="N177" i="35"/>
  <c r="N173" i="35"/>
  <c r="M226" i="35"/>
  <c r="M232" i="35"/>
  <c r="M286" i="35"/>
  <c r="M224" i="35"/>
  <c r="M221" i="35"/>
  <c r="M233" i="35"/>
  <c r="M228" i="35"/>
  <c r="M222" i="35"/>
  <c r="M229" i="35"/>
  <c r="M225" i="35"/>
  <c r="M230" i="35"/>
  <c r="M223" i="35"/>
  <c r="M227" i="35"/>
  <c r="K252" i="35"/>
  <c r="K229" i="35"/>
  <c r="K226" i="35"/>
  <c r="K221" i="35"/>
  <c r="K286" i="35"/>
  <c r="K227" i="35"/>
  <c r="K232" i="35"/>
  <c r="K224" i="35"/>
  <c r="M252" i="35"/>
  <c r="K233" i="35"/>
  <c r="K225" i="35"/>
  <c r="K230" i="35"/>
  <c r="K222" i="35"/>
  <c r="K231" i="35"/>
  <c r="K223" i="35"/>
  <c r="N91" i="34"/>
  <c r="N79" i="34"/>
  <c r="N78" i="34"/>
  <c r="L77" i="34"/>
  <c r="M235" i="35" l="1"/>
  <c r="K235" i="35"/>
  <c r="L286" i="34"/>
  <c r="M284" i="34" l="1"/>
  <c r="J286" i="34"/>
  <c r="K284" i="34" s="1"/>
  <c r="M282" i="34"/>
  <c r="M281" i="34"/>
  <c r="M278" i="34"/>
  <c r="M277" i="34"/>
  <c r="M274" i="34"/>
  <c r="M273" i="34"/>
  <c r="M269" i="34"/>
  <c r="L269" i="34"/>
  <c r="K269" i="34"/>
  <c r="J269" i="34"/>
  <c r="K202" i="34" s="1"/>
  <c r="L252" i="34"/>
  <c r="M250" i="34" s="1"/>
  <c r="J252" i="34"/>
  <c r="K249" i="34" s="1"/>
  <c r="L233" i="34"/>
  <c r="J233" i="34"/>
  <c r="L232" i="34"/>
  <c r="J232" i="34"/>
  <c r="L231" i="34"/>
  <c r="J231" i="34"/>
  <c r="L230" i="34"/>
  <c r="J230" i="34"/>
  <c r="L229" i="34"/>
  <c r="J229" i="34"/>
  <c r="L228" i="34"/>
  <c r="J228" i="34"/>
  <c r="L227" i="34"/>
  <c r="J227" i="34"/>
  <c r="L226" i="34"/>
  <c r="J226" i="34"/>
  <c r="L225" i="34"/>
  <c r="J225" i="34"/>
  <c r="L224" i="34"/>
  <c r="J224" i="34"/>
  <c r="L223" i="34"/>
  <c r="J223" i="34"/>
  <c r="L222" i="34"/>
  <c r="J222" i="34"/>
  <c r="L221" i="34"/>
  <c r="J221" i="34"/>
  <c r="L207" i="34"/>
  <c r="L203" i="34"/>
  <c r="L197" i="34"/>
  <c r="L187" i="34"/>
  <c r="K168" i="34"/>
  <c r="L167" i="34"/>
  <c r="N167" i="34" s="1"/>
  <c r="N146" i="34"/>
  <c r="N145" i="34"/>
  <c r="N128" i="34"/>
  <c r="B115" i="34"/>
  <c r="B182" i="34" s="1"/>
  <c r="B298" i="34" s="1"/>
  <c r="L111" i="34"/>
  <c r="L98" i="34"/>
  <c r="A98" i="34"/>
  <c r="A99" i="34" s="1"/>
  <c r="A100" i="34" s="1"/>
  <c r="A101" i="34" s="1"/>
  <c r="A102" i="34" s="1"/>
  <c r="A103" i="34" s="1"/>
  <c r="A104" i="34" s="1"/>
  <c r="A90" i="34"/>
  <c r="A91" i="34" s="1"/>
  <c r="L85" i="34"/>
  <c r="N84" i="34"/>
  <c r="N83" i="34"/>
  <c r="L83" i="34"/>
  <c r="F75" i="34"/>
  <c r="N70" i="34"/>
  <c r="N69" i="34"/>
  <c r="L59" i="34"/>
  <c r="J59" i="34"/>
  <c r="H59" i="34"/>
  <c r="F59" i="34"/>
  <c r="F72" i="34" s="1"/>
  <c r="D59" i="34"/>
  <c r="D72" i="34" s="1"/>
  <c r="N57" i="34"/>
  <c r="N68" i="34" s="1"/>
  <c r="N56" i="34"/>
  <c r="N152" i="34" s="1"/>
  <c r="J47" i="34"/>
  <c r="J46" i="34"/>
  <c r="N40" i="34"/>
  <c r="H30" i="34"/>
  <c r="F30" i="34"/>
  <c r="D30" i="34"/>
  <c r="H29" i="34"/>
  <c r="F29" i="34"/>
  <c r="D29" i="34"/>
  <c r="N28" i="34"/>
  <c r="N119" i="34" s="1"/>
  <c r="L288" i="34" l="1"/>
  <c r="N87" i="34"/>
  <c r="L191" i="34" s="1"/>
  <c r="N30" i="34"/>
  <c r="N29" i="34"/>
  <c r="N34" i="34" s="1"/>
  <c r="L189" i="34" s="1"/>
  <c r="L190" i="34" s="1"/>
  <c r="L87" i="34"/>
  <c r="L112" i="34" s="1"/>
  <c r="L202" i="34"/>
  <c r="N147" i="34"/>
  <c r="N59" i="34"/>
  <c r="N72" i="34" s="1"/>
  <c r="N153" i="34" s="1"/>
  <c r="N41" i="34"/>
  <c r="M275" i="34"/>
  <c r="M279" i="34"/>
  <c r="M283" i="34"/>
  <c r="M272" i="34"/>
  <c r="M276" i="34"/>
  <c r="M280" i="34"/>
  <c r="K275" i="34"/>
  <c r="K283" i="34"/>
  <c r="K203" i="34"/>
  <c r="K273" i="34"/>
  <c r="K281" i="34"/>
  <c r="K277" i="34"/>
  <c r="K279" i="34"/>
  <c r="L235" i="34"/>
  <c r="M233" i="34" s="1"/>
  <c r="M245" i="34"/>
  <c r="M239" i="34"/>
  <c r="M247" i="34"/>
  <c r="M241" i="34"/>
  <c r="M249" i="34"/>
  <c r="M243" i="34"/>
  <c r="K247" i="34"/>
  <c r="K243" i="34"/>
  <c r="K238" i="34"/>
  <c r="K240" i="34"/>
  <c r="K241" i="34"/>
  <c r="K244" i="34"/>
  <c r="K248" i="34"/>
  <c r="K239" i="34"/>
  <c r="K242" i="34"/>
  <c r="K245" i="34"/>
  <c r="K250" i="34"/>
  <c r="K246" i="34"/>
  <c r="N175" i="34"/>
  <c r="N104" i="34"/>
  <c r="N111" i="34" s="1"/>
  <c r="N112" i="34" s="1"/>
  <c r="N173" i="34"/>
  <c r="N177" i="34"/>
  <c r="J235" i="34"/>
  <c r="K224" i="34" s="1"/>
  <c r="J288" i="34"/>
  <c r="N42" i="34"/>
  <c r="M238" i="34"/>
  <c r="M240" i="34"/>
  <c r="M242" i="34"/>
  <c r="M244" i="34"/>
  <c r="M246" i="34"/>
  <c r="M248" i="34"/>
  <c r="K272" i="34"/>
  <c r="K274" i="34"/>
  <c r="K276" i="34"/>
  <c r="K278" i="34"/>
  <c r="K280" i="34"/>
  <c r="K282" i="34"/>
  <c r="L77" i="33"/>
  <c r="M226" i="34" l="1"/>
  <c r="M225" i="34"/>
  <c r="M221" i="34"/>
  <c r="M228" i="34"/>
  <c r="M223" i="34"/>
  <c r="M230" i="34"/>
  <c r="M286" i="34"/>
  <c r="M224" i="34"/>
  <c r="M222" i="34"/>
  <c r="M232" i="34"/>
  <c r="M227" i="34"/>
  <c r="M229" i="34"/>
  <c r="M231" i="34"/>
  <c r="K252" i="34"/>
  <c r="K221" i="34"/>
  <c r="K231" i="34"/>
  <c r="K226" i="34"/>
  <c r="K229" i="34"/>
  <c r="K222" i="34"/>
  <c r="K223" i="34"/>
  <c r="K227" i="34"/>
  <c r="K232" i="34"/>
  <c r="K230" i="34"/>
  <c r="K286" i="34"/>
  <c r="M252" i="34"/>
  <c r="K233" i="34"/>
  <c r="K225" i="34"/>
  <c r="K228" i="34"/>
  <c r="M235" i="34" l="1"/>
  <c r="K235" i="34"/>
  <c r="N91" i="33"/>
  <c r="N79" i="33"/>
  <c r="N78" i="33"/>
  <c r="L286" i="33" l="1"/>
  <c r="M284" i="33" s="1"/>
  <c r="J286" i="33"/>
  <c r="K284" i="33" s="1"/>
  <c r="M281" i="33"/>
  <c r="M279" i="33"/>
  <c r="M273" i="33"/>
  <c r="M269" i="33"/>
  <c r="L269" i="33"/>
  <c r="L202" i="33" s="1"/>
  <c r="K269" i="33"/>
  <c r="J269" i="33"/>
  <c r="K202" i="33" s="1"/>
  <c r="L252" i="33"/>
  <c r="M250" i="33" s="1"/>
  <c r="J252" i="33"/>
  <c r="K250" i="33" s="1"/>
  <c r="L233" i="33"/>
  <c r="J233" i="33"/>
  <c r="L232" i="33"/>
  <c r="J232" i="33"/>
  <c r="L231" i="33"/>
  <c r="J231" i="33"/>
  <c r="L230" i="33"/>
  <c r="J230" i="33"/>
  <c r="L229" i="33"/>
  <c r="J229" i="33"/>
  <c r="L228" i="33"/>
  <c r="J228" i="33"/>
  <c r="L227" i="33"/>
  <c r="J227" i="33"/>
  <c r="L226" i="33"/>
  <c r="J226" i="33"/>
  <c r="L225" i="33"/>
  <c r="J225" i="33"/>
  <c r="L224" i="33"/>
  <c r="J224" i="33"/>
  <c r="L223" i="33"/>
  <c r="J223" i="33"/>
  <c r="L222" i="33"/>
  <c r="J222" i="33"/>
  <c r="L221" i="33"/>
  <c r="J221" i="33"/>
  <c r="L207" i="33"/>
  <c r="L203" i="33"/>
  <c r="L187" i="33"/>
  <c r="K168" i="33"/>
  <c r="L167" i="33"/>
  <c r="N167" i="33" s="1"/>
  <c r="N146" i="33"/>
  <c r="N145" i="33"/>
  <c r="N128" i="33"/>
  <c r="B115" i="33"/>
  <c r="B182" i="33" s="1"/>
  <c r="B298" i="33" s="1"/>
  <c r="L111" i="33"/>
  <c r="L98" i="33"/>
  <c r="A98" i="33"/>
  <c r="A99" i="33" s="1"/>
  <c r="A100" i="33" s="1"/>
  <c r="A101" i="33" s="1"/>
  <c r="A102" i="33" s="1"/>
  <c r="A103" i="33" s="1"/>
  <c r="A104" i="33" s="1"/>
  <c r="A90" i="33"/>
  <c r="A91" i="33" s="1"/>
  <c r="L85" i="33"/>
  <c r="N84" i="33"/>
  <c r="N83" i="33"/>
  <c r="L83" i="33"/>
  <c r="F75" i="33"/>
  <c r="N70" i="33"/>
  <c r="N69" i="33"/>
  <c r="L59" i="33"/>
  <c r="J59" i="33"/>
  <c r="F59" i="33"/>
  <c r="F72" i="33" s="1"/>
  <c r="D59" i="33"/>
  <c r="D72" i="33" s="1"/>
  <c r="N57" i="33"/>
  <c r="N68" i="33" s="1"/>
  <c r="L197" i="33"/>
  <c r="J47" i="33"/>
  <c r="J46" i="33"/>
  <c r="N40" i="33"/>
  <c r="H30" i="33"/>
  <c r="F30" i="33"/>
  <c r="D30" i="33"/>
  <c r="H29" i="33"/>
  <c r="F29" i="33"/>
  <c r="D29" i="33"/>
  <c r="N28" i="33"/>
  <c r="N42" i="33" s="1"/>
  <c r="N87" i="33" l="1"/>
  <c r="K276" i="33"/>
  <c r="N41" i="33"/>
  <c r="N30" i="33"/>
  <c r="L87" i="33"/>
  <c r="K279" i="33"/>
  <c r="L112" i="33"/>
  <c r="K277" i="33"/>
  <c r="K272" i="33"/>
  <c r="K275" i="33"/>
  <c r="M277" i="33"/>
  <c r="K280" i="33"/>
  <c r="K283" i="33"/>
  <c r="K274" i="33"/>
  <c r="K282" i="33"/>
  <c r="K203" i="33"/>
  <c r="K273" i="33"/>
  <c r="M275" i="33"/>
  <c r="K278" i="33"/>
  <c r="K281" i="33"/>
  <c r="N147" i="33"/>
  <c r="N29" i="33"/>
  <c r="M283" i="33"/>
  <c r="M272" i="33"/>
  <c r="M274" i="33"/>
  <c r="M276" i="33"/>
  <c r="M278" i="33"/>
  <c r="M280" i="33"/>
  <c r="M282" i="33"/>
  <c r="L235" i="33"/>
  <c r="M229" i="33" s="1"/>
  <c r="M239" i="33"/>
  <c r="M243" i="33"/>
  <c r="M247" i="33"/>
  <c r="L288" i="33"/>
  <c r="M241" i="33"/>
  <c r="M245" i="33"/>
  <c r="M249" i="33"/>
  <c r="M240" i="33"/>
  <c r="M244" i="33"/>
  <c r="M248" i="33"/>
  <c r="M238" i="33"/>
  <c r="M242" i="33"/>
  <c r="M246" i="33"/>
  <c r="K239" i="33"/>
  <c r="K241" i="33"/>
  <c r="K243" i="33"/>
  <c r="K245" i="33"/>
  <c r="K249" i="33"/>
  <c r="K247" i="33"/>
  <c r="J288" i="33"/>
  <c r="K238" i="33"/>
  <c r="K240" i="33"/>
  <c r="K242" i="33"/>
  <c r="K244" i="33"/>
  <c r="K246" i="33"/>
  <c r="K248" i="33"/>
  <c r="N175" i="33"/>
  <c r="N173" i="33"/>
  <c r="N177" i="33"/>
  <c r="L191" i="33"/>
  <c r="N104" i="33"/>
  <c r="N111" i="33" s="1"/>
  <c r="N112" i="33" s="1"/>
  <c r="H59" i="33"/>
  <c r="J235" i="33"/>
  <c r="K228" i="33" s="1"/>
  <c r="N56" i="33"/>
  <c r="N119" i="33"/>
  <c r="N91" i="32"/>
  <c r="N79" i="32"/>
  <c r="N78" i="32"/>
  <c r="L77" i="32"/>
  <c r="H56" i="32"/>
  <c r="N34" i="33" l="1"/>
  <c r="L189" i="33" s="1"/>
  <c r="L190" i="33" s="1"/>
  <c r="M221" i="33"/>
  <c r="M223" i="33"/>
  <c r="K286" i="33"/>
  <c r="M222" i="33"/>
  <c r="K252" i="33"/>
  <c r="M225" i="33"/>
  <c r="M226" i="33"/>
  <c r="M224" i="33"/>
  <c r="M228" i="33"/>
  <c r="M230" i="33"/>
  <c r="M227" i="33"/>
  <c r="M286" i="33"/>
  <c r="M232" i="33"/>
  <c r="M231" i="33"/>
  <c r="M233" i="33"/>
  <c r="M252" i="33"/>
  <c r="K231" i="33"/>
  <c r="K223" i="33"/>
  <c r="K227" i="33"/>
  <c r="K226" i="33"/>
  <c r="K229" i="33"/>
  <c r="K221" i="33"/>
  <c r="K232" i="33"/>
  <c r="K224" i="33"/>
  <c r="K230" i="33"/>
  <c r="K222" i="33"/>
  <c r="N152" i="33"/>
  <c r="N59" i="33"/>
  <c r="N72" i="33" s="1"/>
  <c r="N153" i="33" s="1"/>
  <c r="K233" i="33"/>
  <c r="K225" i="33"/>
  <c r="L286" i="32"/>
  <c r="J286" i="32"/>
  <c r="K284" i="32" s="1"/>
  <c r="M269" i="32"/>
  <c r="L269" i="32"/>
  <c r="L202" i="32" s="1"/>
  <c r="K269" i="32"/>
  <c r="J269" i="32"/>
  <c r="K202" i="32" s="1"/>
  <c r="L252" i="32"/>
  <c r="M250" i="32" s="1"/>
  <c r="J252" i="32"/>
  <c r="K250" i="32" s="1"/>
  <c r="L233" i="32"/>
  <c r="J233" i="32"/>
  <c r="L232" i="32"/>
  <c r="J232" i="32"/>
  <c r="L231" i="32"/>
  <c r="J231" i="32"/>
  <c r="L230" i="32"/>
  <c r="J230" i="32"/>
  <c r="L229" i="32"/>
  <c r="J229" i="32"/>
  <c r="L228" i="32"/>
  <c r="J228" i="32"/>
  <c r="L227" i="32"/>
  <c r="J227" i="32"/>
  <c r="L226" i="32"/>
  <c r="J226" i="32"/>
  <c r="L225" i="32"/>
  <c r="J225" i="32"/>
  <c r="L224" i="32"/>
  <c r="J224" i="32"/>
  <c r="L223" i="32"/>
  <c r="J223" i="32"/>
  <c r="L222" i="32"/>
  <c r="J222" i="32"/>
  <c r="L221" i="32"/>
  <c r="J221" i="32"/>
  <c r="L207" i="32"/>
  <c r="L197" i="32"/>
  <c r="L187" i="32"/>
  <c r="K168" i="32"/>
  <c r="L167" i="32"/>
  <c r="N146" i="32"/>
  <c r="N145" i="32"/>
  <c r="N128" i="32"/>
  <c r="B115" i="32"/>
  <c r="B182" i="32" s="1"/>
  <c r="B298" i="32" s="1"/>
  <c r="L111" i="32"/>
  <c r="L98" i="32"/>
  <c r="A98" i="32"/>
  <c r="A99" i="32" s="1"/>
  <c r="A100" i="32" s="1"/>
  <c r="A101" i="32" s="1"/>
  <c r="A102" i="32" s="1"/>
  <c r="A103" i="32" s="1"/>
  <c r="A104" i="32" s="1"/>
  <c r="A90" i="32"/>
  <c r="A91" i="32" s="1"/>
  <c r="L85" i="32"/>
  <c r="N84" i="32"/>
  <c r="L83" i="32"/>
  <c r="N83" i="32"/>
  <c r="F75" i="32"/>
  <c r="N70" i="32"/>
  <c r="N69" i="32"/>
  <c r="L59" i="32"/>
  <c r="J59" i="32"/>
  <c r="H59" i="32"/>
  <c r="F59" i="32"/>
  <c r="F72" i="32" s="1"/>
  <c r="D59" i="32"/>
  <c r="D72" i="32" s="1"/>
  <c r="N57" i="32"/>
  <c r="N68" i="32" s="1"/>
  <c r="N56" i="32"/>
  <c r="N152" i="32" s="1"/>
  <c r="J47" i="32"/>
  <c r="J46" i="32"/>
  <c r="N40" i="32"/>
  <c r="H30" i="32"/>
  <c r="F30" i="32"/>
  <c r="D30" i="32"/>
  <c r="H29" i="32"/>
  <c r="F29" i="32"/>
  <c r="D29" i="32"/>
  <c r="N28" i="32"/>
  <c r="N119" i="32" s="1"/>
  <c r="L87" i="32" l="1"/>
  <c r="M235" i="33"/>
  <c r="N29" i="32"/>
  <c r="N34" i="32" s="1"/>
  <c r="L189" i="32" s="1"/>
  <c r="L190" i="32" s="1"/>
  <c r="K235" i="33"/>
  <c r="K273" i="32"/>
  <c r="K281" i="32"/>
  <c r="K203" i="32"/>
  <c r="K274" i="32"/>
  <c r="K278" i="32"/>
  <c r="K282" i="32"/>
  <c r="K275" i="32"/>
  <c r="K279" i="32"/>
  <c r="K283" i="32"/>
  <c r="K277" i="32"/>
  <c r="N30" i="32"/>
  <c r="K272" i="32"/>
  <c r="K276" i="32"/>
  <c r="K280" i="32"/>
  <c r="L235" i="32"/>
  <c r="M223" i="32" s="1"/>
  <c r="L288" i="32"/>
  <c r="K239" i="32"/>
  <c r="K243" i="32"/>
  <c r="J235" i="32"/>
  <c r="K222" i="32" s="1"/>
  <c r="K241" i="32"/>
  <c r="K247" i="32"/>
  <c r="K238" i="32"/>
  <c r="K240" i="32"/>
  <c r="K242" i="32"/>
  <c r="K245" i="32"/>
  <c r="K249" i="32"/>
  <c r="K244" i="32"/>
  <c r="K246" i="32"/>
  <c r="K248" i="32"/>
  <c r="J288" i="32"/>
  <c r="L112" i="32"/>
  <c r="N41" i="32"/>
  <c r="N42" i="32"/>
  <c r="N59" i="32"/>
  <c r="N72" i="32" s="1"/>
  <c r="N153" i="32" s="1"/>
  <c r="N87" i="32"/>
  <c r="N167" i="32"/>
  <c r="N147" i="32"/>
  <c r="M222" i="32"/>
  <c r="M227" i="32"/>
  <c r="L203" i="32"/>
  <c r="M238" i="32"/>
  <c r="M239" i="32"/>
  <c r="M240" i="32"/>
  <c r="M241" i="32"/>
  <c r="M242" i="32"/>
  <c r="M243" i="32"/>
  <c r="M244" i="32"/>
  <c r="M245" i="32"/>
  <c r="M246" i="32"/>
  <c r="M247" i="32"/>
  <c r="M248" i="32"/>
  <c r="M249" i="32"/>
  <c r="M272" i="32"/>
  <c r="M273" i="32"/>
  <c r="M274" i="32"/>
  <c r="M275" i="32"/>
  <c r="M276" i="32"/>
  <c r="M277" i="32"/>
  <c r="M278" i="32"/>
  <c r="M279" i="32"/>
  <c r="M280" i="32"/>
  <c r="M281" i="32"/>
  <c r="M282" i="32"/>
  <c r="M283" i="32"/>
  <c r="M284" i="32"/>
  <c r="M231" i="32" l="1"/>
  <c r="K225" i="32"/>
  <c r="K233" i="32"/>
  <c r="K221" i="32"/>
  <c r="M229" i="32"/>
  <c r="M233" i="32"/>
  <c r="M225" i="32"/>
  <c r="K229" i="32"/>
  <c r="M221" i="32"/>
  <c r="M232" i="32"/>
  <c r="M230" i="32"/>
  <c r="M228" i="32"/>
  <c r="M226" i="32"/>
  <c r="M224" i="32"/>
  <c r="K230" i="32"/>
  <c r="K227" i="32"/>
  <c r="K231" i="32"/>
  <c r="K226" i="32"/>
  <c r="K286" i="32"/>
  <c r="K232" i="32"/>
  <c r="K228" i="32"/>
  <c r="K224" i="32"/>
  <c r="K223" i="32"/>
  <c r="K252" i="32"/>
  <c r="M286" i="32"/>
  <c r="M252" i="32"/>
  <c r="N177" i="32"/>
  <c r="N173" i="32"/>
  <c r="N104" i="32"/>
  <c r="L191" i="32"/>
  <c r="N175" i="32"/>
  <c r="N40" i="31"/>
  <c r="M235" i="32" l="1"/>
  <c r="K235" i="32"/>
  <c r="N111" i="32"/>
  <c r="N112" i="32" s="1"/>
  <c r="N91" i="31"/>
  <c r="N79" i="31"/>
  <c r="N78" i="31"/>
  <c r="L286" i="31" l="1"/>
  <c r="J286" i="31"/>
  <c r="K284" i="31" s="1"/>
  <c r="K277" i="31"/>
  <c r="M269" i="31"/>
  <c r="L269" i="31"/>
  <c r="L202" i="31" s="1"/>
  <c r="K269" i="31"/>
  <c r="J269" i="31"/>
  <c r="K202" i="31" s="1"/>
  <c r="L252" i="31"/>
  <c r="M250" i="31" s="1"/>
  <c r="J252" i="31"/>
  <c r="K250" i="31" s="1"/>
  <c r="L233" i="31"/>
  <c r="J233" i="31"/>
  <c r="L232" i="31"/>
  <c r="J232" i="31"/>
  <c r="L231" i="31"/>
  <c r="J231" i="31"/>
  <c r="L230" i="31"/>
  <c r="J230" i="31"/>
  <c r="L229" i="31"/>
  <c r="J229" i="31"/>
  <c r="L228" i="31"/>
  <c r="J228" i="31"/>
  <c r="L227" i="31"/>
  <c r="J227" i="31"/>
  <c r="L226" i="31"/>
  <c r="J226" i="31"/>
  <c r="L225" i="31"/>
  <c r="J225" i="31"/>
  <c r="L224" i="31"/>
  <c r="J224" i="31"/>
  <c r="L223" i="31"/>
  <c r="J223" i="31"/>
  <c r="L222" i="31"/>
  <c r="J222" i="31"/>
  <c r="L221" i="31"/>
  <c r="J221" i="31"/>
  <c r="L207" i="31"/>
  <c r="L203" i="31"/>
  <c r="L197" i="31"/>
  <c r="L187" i="31"/>
  <c r="K168" i="31"/>
  <c r="L167" i="31"/>
  <c r="N146" i="31"/>
  <c r="N145" i="31"/>
  <c r="N128" i="31"/>
  <c r="B115" i="31"/>
  <c r="B182" i="31" s="1"/>
  <c r="B298" i="31" s="1"/>
  <c r="L111" i="31"/>
  <c r="L98" i="31"/>
  <c r="A98" i="31"/>
  <c r="A99" i="31" s="1"/>
  <c r="A100" i="31" s="1"/>
  <c r="A101" i="31" s="1"/>
  <c r="A102" i="31" s="1"/>
  <c r="A103" i="31" s="1"/>
  <c r="A104" i="31" s="1"/>
  <c r="A90" i="31"/>
  <c r="A91" i="31" s="1"/>
  <c r="L85" i="31"/>
  <c r="N84" i="31"/>
  <c r="L83" i="31"/>
  <c r="N83" i="31"/>
  <c r="F75" i="31"/>
  <c r="N70" i="31"/>
  <c r="N69" i="31"/>
  <c r="L59" i="31"/>
  <c r="J59" i="31"/>
  <c r="H59" i="31"/>
  <c r="F59" i="31"/>
  <c r="F72" i="31" s="1"/>
  <c r="D59" i="31"/>
  <c r="D72" i="31" s="1"/>
  <c r="N57" i="31"/>
  <c r="N68" i="31" s="1"/>
  <c r="N56" i="31"/>
  <c r="J47" i="31"/>
  <c r="J46" i="31"/>
  <c r="H30" i="31"/>
  <c r="F30" i="31"/>
  <c r="D30" i="31"/>
  <c r="H29" i="31"/>
  <c r="F29" i="31"/>
  <c r="D29" i="31"/>
  <c r="N28" i="31"/>
  <c r="K281" i="31" l="1"/>
  <c r="K273" i="31"/>
  <c r="K203" i="31"/>
  <c r="K275" i="31"/>
  <c r="K279" i="31"/>
  <c r="K283" i="31"/>
  <c r="K272" i="31"/>
  <c r="K274" i="31"/>
  <c r="K276" i="31"/>
  <c r="K278" i="31"/>
  <c r="K280" i="31"/>
  <c r="K282" i="31"/>
  <c r="N30" i="31"/>
  <c r="L87" i="31"/>
  <c r="L112" i="31" s="1"/>
  <c r="N147" i="31"/>
  <c r="N41" i="31"/>
  <c r="L235" i="31"/>
  <c r="M222" i="31" s="1"/>
  <c r="L288" i="31"/>
  <c r="K238" i="31"/>
  <c r="K242" i="31"/>
  <c r="K246" i="31"/>
  <c r="K240" i="31"/>
  <c r="K244" i="31"/>
  <c r="K248" i="31"/>
  <c r="J235" i="31"/>
  <c r="K222" i="31" s="1"/>
  <c r="K239" i="31"/>
  <c r="K241" i="31"/>
  <c r="K243" i="31"/>
  <c r="K245" i="31"/>
  <c r="K247" i="31"/>
  <c r="K249" i="31"/>
  <c r="J288" i="31"/>
  <c r="N119" i="31"/>
  <c r="N42" i="31"/>
  <c r="N29" i="31"/>
  <c r="N34" i="31" s="1"/>
  <c r="L189" i="31" s="1"/>
  <c r="L190" i="31" s="1"/>
  <c r="N87" i="31"/>
  <c r="K229" i="31"/>
  <c r="N152" i="31"/>
  <c r="N59" i="31"/>
  <c r="N72" i="31" s="1"/>
  <c r="N153" i="31" s="1"/>
  <c r="M224" i="31"/>
  <c r="N167" i="31"/>
  <c r="M238" i="31"/>
  <c r="M239" i="31"/>
  <c r="M240" i="31"/>
  <c r="M241" i="31"/>
  <c r="M242" i="31"/>
  <c r="M243" i="31"/>
  <c r="M244" i="31"/>
  <c r="M245" i="31"/>
  <c r="M246" i="31"/>
  <c r="M247" i="31"/>
  <c r="M248" i="31"/>
  <c r="M249" i="31"/>
  <c r="M272" i="31"/>
  <c r="M273" i="31"/>
  <c r="M274" i="31"/>
  <c r="M275" i="31"/>
  <c r="M276" i="31"/>
  <c r="M277" i="31"/>
  <c r="M278" i="31"/>
  <c r="M279" i="31"/>
  <c r="M280" i="31"/>
  <c r="M281" i="31"/>
  <c r="M282" i="31"/>
  <c r="M283" i="31"/>
  <c r="M284" i="31"/>
  <c r="N91" i="30"/>
  <c r="N79" i="30"/>
  <c r="N78" i="30"/>
  <c r="L77" i="30"/>
  <c r="K286" i="31" l="1"/>
  <c r="M221" i="31"/>
  <c r="M228" i="31"/>
  <c r="K233" i="31"/>
  <c r="M232" i="31"/>
  <c r="M227" i="31"/>
  <c r="M230" i="31"/>
  <c r="M226" i="31"/>
  <c r="K231" i="31"/>
  <c r="K225" i="31"/>
  <c r="K221" i="31"/>
  <c r="M231" i="31"/>
  <c r="M223" i="31"/>
  <c r="K232" i="31"/>
  <c r="K227" i="31"/>
  <c r="M233" i="31"/>
  <c r="M229" i="31"/>
  <c r="M225" i="31"/>
  <c r="K230" i="31"/>
  <c r="K223" i="31"/>
  <c r="K228" i="31"/>
  <c r="K226" i="31"/>
  <c r="K224" i="31"/>
  <c r="K252" i="31"/>
  <c r="M286" i="31"/>
  <c r="M252" i="31"/>
  <c r="L191" i="31"/>
  <c r="N175" i="31"/>
  <c r="N177" i="31"/>
  <c r="N173" i="31"/>
  <c r="N104" i="31"/>
  <c r="L286" i="30"/>
  <c r="M279" i="30" s="1"/>
  <c r="J286" i="30"/>
  <c r="K284" i="30" s="1"/>
  <c r="M269" i="30"/>
  <c r="L269" i="30"/>
  <c r="L202" i="30" s="1"/>
  <c r="K269" i="30"/>
  <c r="J269" i="30"/>
  <c r="K202" i="30" s="1"/>
  <c r="L252" i="30"/>
  <c r="M250" i="30" s="1"/>
  <c r="J252" i="30"/>
  <c r="K250" i="30" s="1"/>
  <c r="L233" i="30"/>
  <c r="J233" i="30"/>
  <c r="L232" i="30"/>
  <c r="J232" i="30"/>
  <c r="L231" i="30"/>
  <c r="J231" i="30"/>
  <c r="L230" i="30"/>
  <c r="J230" i="30"/>
  <c r="L229" i="30"/>
  <c r="J229" i="30"/>
  <c r="L228" i="30"/>
  <c r="J228" i="30"/>
  <c r="L227" i="30"/>
  <c r="J227" i="30"/>
  <c r="L226" i="30"/>
  <c r="J226" i="30"/>
  <c r="L225" i="30"/>
  <c r="J225" i="30"/>
  <c r="L224" i="30"/>
  <c r="J224" i="30"/>
  <c r="L223" i="30"/>
  <c r="J223" i="30"/>
  <c r="L222" i="30"/>
  <c r="J222" i="30"/>
  <c r="L221" i="30"/>
  <c r="J221" i="30"/>
  <c r="L207" i="30"/>
  <c r="K203" i="30"/>
  <c r="L197" i="30"/>
  <c r="L187" i="30"/>
  <c r="K168" i="30"/>
  <c r="L167" i="30"/>
  <c r="N146" i="30"/>
  <c r="N145" i="30"/>
  <c r="N128" i="30"/>
  <c r="B115" i="30"/>
  <c r="B182" i="30" s="1"/>
  <c r="B298" i="30" s="1"/>
  <c r="L111" i="30"/>
  <c r="L98" i="30"/>
  <c r="A98" i="30"/>
  <c r="A99" i="30" s="1"/>
  <c r="A100" i="30" s="1"/>
  <c r="A101" i="30" s="1"/>
  <c r="A102" i="30" s="1"/>
  <c r="A103" i="30" s="1"/>
  <c r="A104" i="30" s="1"/>
  <c r="A90" i="30"/>
  <c r="A91" i="30" s="1"/>
  <c r="L85" i="30"/>
  <c r="N84" i="30"/>
  <c r="L83" i="30"/>
  <c r="N83" i="30"/>
  <c r="F75" i="30"/>
  <c r="N70" i="30"/>
  <c r="N69" i="30"/>
  <c r="L59" i="30"/>
  <c r="J59" i="30"/>
  <c r="H59" i="30"/>
  <c r="F59" i="30"/>
  <c r="F72" i="30" s="1"/>
  <c r="D59" i="30"/>
  <c r="D72" i="30" s="1"/>
  <c r="N57" i="30"/>
  <c r="N56" i="30"/>
  <c r="N152" i="30" s="1"/>
  <c r="J47" i="30"/>
  <c r="J46" i="30"/>
  <c r="N40" i="30"/>
  <c r="H30" i="30"/>
  <c r="F30" i="30"/>
  <c r="D30" i="30"/>
  <c r="H29" i="30"/>
  <c r="F29" i="30"/>
  <c r="D29" i="30"/>
  <c r="N28" i="30"/>
  <c r="N42" i="30" s="1"/>
  <c r="M272" i="30" l="1"/>
  <c r="M249" i="30"/>
  <c r="N87" i="30"/>
  <c r="L191" i="30" s="1"/>
  <c r="K281" i="30"/>
  <c r="L203" i="30"/>
  <c r="M276" i="30"/>
  <c r="L87" i="30"/>
  <c r="M235" i="31"/>
  <c r="N111" i="31"/>
  <c r="N112" i="31" s="1"/>
  <c r="N30" i="30"/>
  <c r="K235" i="31"/>
  <c r="L112" i="30"/>
  <c r="N147" i="30"/>
  <c r="N59" i="30"/>
  <c r="N29" i="30"/>
  <c r="N34" i="30" s="1"/>
  <c r="L189" i="30" s="1"/>
  <c r="L190" i="30" s="1"/>
  <c r="M274" i="30"/>
  <c r="M278" i="30"/>
  <c r="M273" i="30"/>
  <c r="M275" i="30"/>
  <c r="M277" i="30"/>
  <c r="K272" i="30"/>
  <c r="K273" i="30"/>
  <c r="K274" i="30"/>
  <c r="K275" i="30"/>
  <c r="K276" i="30"/>
  <c r="K283" i="30"/>
  <c r="K277" i="30"/>
  <c r="K278" i="30"/>
  <c r="K279" i="30"/>
  <c r="K280" i="30"/>
  <c r="K282" i="30"/>
  <c r="M241" i="30"/>
  <c r="M239" i="30"/>
  <c r="M245" i="30"/>
  <c r="L235" i="30"/>
  <c r="M223" i="30" s="1"/>
  <c r="M238" i="30"/>
  <c r="M240" i="30"/>
  <c r="M243" i="30"/>
  <c r="M247" i="30"/>
  <c r="M242" i="30"/>
  <c r="M244" i="30"/>
  <c r="M246" i="30"/>
  <c r="M248" i="30"/>
  <c r="L288" i="30"/>
  <c r="J235" i="30"/>
  <c r="K222" i="30" s="1"/>
  <c r="K238" i="30"/>
  <c r="K239" i="30"/>
  <c r="K240" i="30"/>
  <c r="K241" i="30"/>
  <c r="K242" i="30"/>
  <c r="K243" i="30"/>
  <c r="K244" i="30"/>
  <c r="K245" i="30"/>
  <c r="K246" i="30"/>
  <c r="K247" i="30"/>
  <c r="K248" i="30"/>
  <c r="K249" i="30"/>
  <c r="J288" i="30"/>
  <c r="K227" i="30"/>
  <c r="K231" i="30"/>
  <c r="M227" i="30"/>
  <c r="M228" i="30"/>
  <c r="N41" i="30"/>
  <c r="N68" i="30"/>
  <c r="N119" i="30"/>
  <c r="N167" i="30"/>
  <c r="M280" i="30"/>
  <c r="M281" i="30"/>
  <c r="M282" i="30"/>
  <c r="M283" i="30"/>
  <c r="M284" i="30"/>
  <c r="L111" i="29"/>
  <c r="N173" i="30" l="1"/>
  <c r="N177" i="30"/>
  <c r="M232" i="30"/>
  <c r="M222" i="30"/>
  <c r="N175" i="30"/>
  <c r="M231" i="30"/>
  <c r="N104" i="30"/>
  <c r="N111" i="30" s="1"/>
  <c r="N112" i="30" s="1"/>
  <c r="K232" i="30"/>
  <c r="K228" i="30"/>
  <c r="M221" i="30"/>
  <c r="M230" i="30"/>
  <c r="M226" i="30"/>
  <c r="M233" i="30"/>
  <c r="M229" i="30"/>
  <c r="M225" i="30"/>
  <c r="M252" i="30"/>
  <c r="K230" i="30"/>
  <c r="K226" i="30"/>
  <c r="K221" i="30"/>
  <c r="K233" i="30"/>
  <c r="K229" i="30"/>
  <c r="K225" i="30"/>
  <c r="K223" i="30"/>
  <c r="N72" i="30"/>
  <c r="N153" i="30" s="1"/>
  <c r="M224" i="30"/>
  <c r="M286" i="30"/>
  <c r="K286" i="30"/>
  <c r="K224" i="30"/>
  <c r="K252" i="30"/>
  <c r="F59" i="29"/>
  <c r="F72" i="29" s="1"/>
  <c r="M235" i="30" l="1"/>
  <c r="K235" i="30"/>
  <c r="N91" i="29"/>
  <c r="N79" i="29"/>
  <c r="N78" i="29"/>
  <c r="L286" i="29" l="1"/>
  <c r="M284" i="29" s="1"/>
  <c r="J286" i="29"/>
  <c r="K284" i="29" s="1"/>
  <c r="M283" i="29"/>
  <c r="K282" i="29"/>
  <c r="M281" i="29"/>
  <c r="K281" i="29"/>
  <c r="M279" i="29"/>
  <c r="K278" i="29"/>
  <c r="M277" i="29"/>
  <c r="K277" i="29"/>
  <c r="M275" i="29"/>
  <c r="K274" i="29"/>
  <c r="M273" i="29"/>
  <c r="K273" i="29"/>
  <c r="M269" i="29"/>
  <c r="L269" i="29"/>
  <c r="K269" i="29"/>
  <c r="J269" i="29"/>
  <c r="K202" i="29" s="1"/>
  <c r="L252" i="29"/>
  <c r="M249" i="29" s="1"/>
  <c r="J252" i="29"/>
  <c r="K250" i="29" s="1"/>
  <c r="L233" i="29"/>
  <c r="J233" i="29"/>
  <c r="L232" i="29"/>
  <c r="J232" i="29"/>
  <c r="L231" i="29"/>
  <c r="J231" i="29"/>
  <c r="L230" i="29"/>
  <c r="J230" i="29"/>
  <c r="L229" i="29"/>
  <c r="J229" i="29"/>
  <c r="L228" i="29"/>
  <c r="J228" i="29"/>
  <c r="L227" i="29"/>
  <c r="J227" i="29"/>
  <c r="L226" i="29"/>
  <c r="J226" i="29"/>
  <c r="L225" i="29"/>
  <c r="J225" i="29"/>
  <c r="L224" i="29"/>
  <c r="J224" i="29"/>
  <c r="L223" i="29"/>
  <c r="J223" i="29"/>
  <c r="L222" i="29"/>
  <c r="J222" i="29"/>
  <c r="L221" i="29"/>
  <c r="J221" i="29"/>
  <c r="L207" i="29"/>
  <c r="L202" i="29"/>
  <c r="L187" i="29"/>
  <c r="K168" i="29"/>
  <c r="L167" i="29"/>
  <c r="N146" i="29"/>
  <c r="N145" i="29"/>
  <c r="N128" i="29"/>
  <c r="B115" i="29"/>
  <c r="B182" i="29" s="1"/>
  <c r="B298" i="29" s="1"/>
  <c r="L98" i="29"/>
  <c r="A98" i="29"/>
  <c r="A99" i="29" s="1"/>
  <c r="A100" i="29" s="1"/>
  <c r="A101" i="29" s="1"/>
  <c r="A102" i="29" s="1"/>
  <c r="A103" i="29" s="1"/>
  <c r="A104" i="29" s="1"/>
  <c r="A90" i="29"/>
  <c r="A91" i="29" s="1"/>
  <c r="L85" i="29"/>
  <c r="N84" i="29"/>
  <c r="L83" i="29"/>
  <c r="N83" i="29"/>
  <c r="F75" i="29"/>
  <c r="N70" i="29"/>
  <c r="N69" i="29"/>
  <c r="L59" i="29"/>
  <c r="J59" i="29"/>
  <c r="D59" i="29"/>
  <c r="D72" i="29" s="1"/>
  <c r="N57" i="29"/>
  <c r="N68" i="29" s="1"/>
  <c r="L197" i="29"/>
  <c r="J47" i="29"/>
  <c r="J46" i="29"/>
  <c r="N40" i="29"/>
  <c r="H30" i="29"/>
  <c r="F30" i="29"/>
  <c r="D30" i="29"/>
  <c r="H29" i="29"/>
  <c r="F29" i="29"/>
  <c r="D29" i="29"/>
  <c r="N28" i="29"/>
  <c r="N119" i="29" s="1"/>
  <c r="N87" i="29" l="1"/>
  <c r="N147" i="29"/>
  <c r="L235" i="29"/>
  <c r="M222" i="29" s="1"/>
  <c r="K203" i="29"/>
  <c r="K272" i="29"/>
  <c r="K275" i="29"/>
  <c r="K276" i="29"/>
  <c r="K279" i="29"/>
  <c r="K280" i="29"/>
  <c r="K283" i="29"/>
  <c r="L87" i="29"/>
  <c r="L112" i="29" s="1"/>
  <c r="N30" i="29"/>
  <c r="J235" i="29"/>
  <c r="K223" i="29" s="1"/>
  <c r="N29" i="29"/>
  <c r="L203" i="29"/>
  <c r="M250" i="29"/>
  <c r="M272" i="29"/>
  <c r="M274" i="29"/>
  <c r="M276" i="29"/>
  <c r="M278" i="29"/>
  <c r="M280" i="29"/>
  <c r="M282" i="29"/>
  <c r="N41" i="29"/>
  <c r="M238" i="29"/>
  <c r="M242" i="29"/>
  <c r="M246" i="29"/>
  <c r="M240" i="29"/>
  <c r="M244" i="29"/>
  <c r="M248" i="29"/>
  <c r="M239" i="29"/>
  <c r="M241" i="29"/>
  <c r="M243" i="29"/>
  <c r="M245" i="29"/>
  <c r="M247" i="29"/>
  <c r="L288" i="29"/>
  <c r="K238" i="29"/>
  <c r="K239" i="29"/>
  <c r="K240" i="29"/>
  <c r="K241" i="29"/>
  <c r="K242" i="29"/>
  <c r="K243" i="29"/>
  <c r="K244" i="29"/>
  <c r="K245" i="29"/>
  <c r="K246" i="29"/>
  <c r="K247" i="29"/>
  <c r="K248" i="29"/>
  <c r="K249" i="29"/>
  <c r="J288" i="29"/>
  <c r="L191" i="29"/>
  <c r="N175" i="29"/>
  <c r="N177" i="29"/>
  <c r="N173" i="29"/>
  <c r="N104" i="29"/>
  <c r="K224" i="29"/>
  <c r="K228" i="29"/>
  <c r="K232" i="29"/>
  <c r="M228" i="29"/>
  <c r="M229" i="29"/>
  <c r="N42" i="29"/>
  <c r="N56" i="29"/>
  <c r="H59" i="29"/>
  <c r="N167" i="29"/>
  <c r="M233" i="29" l="1"/>
  <c r="M225" i="29"/>
  <c r="M232" i="29"/>
  <c r="M224" i="29"/>
  <c r="M231" i="29"/>
  <c r="M223" i="29"/>
  <c r="M227" i="29"/>
  <c r="M221" i="29"/>
  <c r="M235" i="29" s="1"/>
  <c r="M230" i="29"/>
  <c r="M226" i="29"/>
  <c r="K286" i="29"/>
  <c r="K221" i="29"/>
  <c r="K230" i="29"/>
  <c r="K226" i="29"/>
  <c r="K222" i="29"/>
  <c r="K233" i="29"/>
  <c r="K231" i="29"/>
  <c r="K229" i="29"/>
  <c r="K227" i="29"/>
  <c r="K225" i="29"/>
  <c r="M286" i="29"/>
  <c r="N111" i="29"/>
  <c r="N112" i="29" s="1"/>
  <c r="N34" i="29"/>
  <c r="L189" i="29" s="1"/>
  <c r="L190" i="29" s="1"/>
  <c r="M252" i="29"/>
  <c r="K252" i="29"/>
  <c r="N152" i="29"/>
  <c r="N59" i="29"/>
  <c r="N72" i="29" s="1"/>
  <c r="N153" i="29" s="1"/>
  <c r="K235" i="29" l="1"/>
  <c r="N91" i="28"/>
  <c r="N79" i="28"/>
  <c r="N78" i="28"/>
  <c r="H56" i="28"/>
  <c r="L286" i="28" l="1"/>
  <c r="M284" i="28" s="1"/>
  <c r="J286" i="28"/>
  <c r="K284" i="28" s="1"/>
  <c r="M283" i="28"/>
  <c r="M281" i="28"/>
  <c r="M279" i="28"/>
  <c r="M278" i="28"/>
  <c r="M277" i="28"/>
  <c r="K277" i="28"/>
  <c r="M276" i="28"/>
  <c r="M275" i="28"/>
  <c r="M274" i="28"/>
  <c r="M273" i="28"/>
  <c r="M272" i="28"/>
  <c r="M269" i="28"/>
  <c r="L269" i="28"/>
  <c r="L202" i="28" s="1"/>
  <c r="K269" i="28"/>
  <c r="J269" i="28"/>
  <c r="K202" i="28" s="1"/>
  <c r="L252" i="28"/>
  <c r="M249" i="28" s="1"/>
  <c r="J252" i="28"/>
  <c r="K250" i="28" s="1"/>
  <c r="L233" i="28"/>
  <c r="J233" i="28"/>
  <c r="L232" i="28"/>
  <c r="J232" i="28"/>
  <c r="L231" i="28"/>
  <c r="J231" i="28"/>
  <c r="L230" i="28"/>
  <c r="J230" i="28"/>
  <c r="L229" i="28"/>
  <c r="J229" i="28"/>
  <c r="L228" i="28"/>
  <c r="J228" i="28"/>
  <c r="L227" i="28"/>
  <c r="J227" i="28"/>
  <c r="L226" i="28"/>
  <c r="J226" i="28"/>
  <c r="L225" i="28"/>
  <c r="J225" i="28"/>
  <c r="L224" i="28"/>
  <c r="J224" i="28"/>
  <c r="L223" i="28"/>
  <c r="J223" i="28"/>
  <c r="L222" i="28"/>
  <c r="J222" i="28"/>
  <c r="L221" i="28"/>
  <c r="J221" i="28"/>
  <c r="L207" i="28"/>
  <c r="L203" i="28"/>
  <c r="L187" i="28"/>
  <c r="K168" i="28"/>
  <c r="L167" i="28"/>
  <c r="N146" i="28"/>
  <c r="N145" i="28"/>
  <c r="N128" i="28"/>
  <c r="B115" i="28"/>
  <c r="B182" i="28" s="1"/>
  <c r="B298" i="28" s="1"/>
  <c r="L111" i="28"/>
  <c r="L98" i="28"/>
  <c r="A98" i="28"/>
  <c r="A99" i="28" s="1"/>
  <c r="A100" i="28" s="1"/>
  <c r="A101" i="28" s="1"/>
  <c r="A102" i="28" s="1"/>
  <c r="A103" i="28" s="1"/>
  <c r="A104" i="28" s="1"/>
  <c r="A90" i="28"/>
  <c r="A91" i="28" s="1"/>
  <c r="L85" i="28"/>
  <c r="N84" i="28"/>
  <c r="L83" i="28"/>
  <c r="N83" i="28"/>
  <c r="F75" i="28"/>
  <c r="N70" i="28"/>
  <c r="N69" i="28"/>
  <c r="L59" i="28"/>
  <c r="F59" i="28"/>
  <c r="F72" i="28" s="1"/>
  <c r="D59" i="28"/>
  <c r="D72" i="28" s="1"/>
  <c r="N57" i="28"/>
  <c r="N68" i="28" s="1"/>
  <c r="J59" i="28"/>
  <c r="H59" i="28"/>
  <c r="J47" i="28"/>
  <c r="J46" i="28"/>
  <c r="N40" i="28"/>
  <c r="H30" i="28"/>
  <c r="F30" i="28"/>
  <c r="D30" i="28"/>
  <c r="H29" i="28"/>
  <c r="F29" i="28"/>
  <c r="D29" i="28"/>
  <c r="N28" i="28"/>
  <c r="N119" i="28" s="1"/>
  <c r="L87" i="28" l="1"/>
  <c r="N30" i="28"/>
  <c r="L112" i="28"/>
  <c r="K273" i="28"/>
  <c r="N147" i="28"/>
  <c r="K275" i="28"/>
  <c r="J235" i="28"/>
  <c r="K228" i="28" s="1"/>
  <c r="K279" i="28"/>
  <c r="K281" i="28"/>
  <c r="K283" i="28"/>
  <c r="N41" i="28"/>
  <c r="N29" i="28"/>
  <c r="K203" i="28"/>
  <c r="K272" i="28"/>
  <c r="K274" i="28"/>
  <c r="K276" i="28"/>
  <c r="K278" i="28"/>
  <c r="K280" i="28"/>
  <c r="K282" i="28"/>
  <c r="M250" i="28"/>
  <c r="M280" i="28"/>
  <c r="M282" i="28"/>
  <c r="N87" i="28"/>
  <c r="M242" i="28"/>
  <c r="L235" i="28"/>
  <c r="M233" i="28" s="1"/>
  <c r="M238" i="28"/>
  <c r="M246" i="28"/>
  <c r="M240" i="28"/>
  <c r="M244" i="28"/>
  <c r="M248" i="28"/>
  <c r="M239" i="28"/>
  <c r="M241" i="28"/>
  <c r="M243" i="28"/>
  <c r="M245" i="28"/>
  <c r="M247" i="28"/>
  <c r="L288" i="28"/>
  <c r="K238" i="28"/>
  <c r="K239" i="28"/>
  <c r="K240" i="28"/>
  <c r="K241" i="28"/>
  <c r="K242" i="28"/>
  <c r="K243" i="28"/>
  <c r="J288" i="28"/>
  <c r="K244" i="28"/>
  <c r="K245" i="28"/>
  <c r="K246" i="28"/>
  <c r="K247" i="28"/>
  <c r="K248" i="28"/>
  <c r="K249" i="28"/>
  <c r="N42" i="28"/>
  <c r="N167" i="28"/>
  <c r="L197" i="28"/>
  <c r="N56" i="28"/>
  <c r="N91" i="27"/>
  <c r="N79" i="27"/>
  <c r="N78" i="27"/>
  <c r="L77" i="27"/>
  <c r="L83" i="27" s="1"/>
  <c r="J56" i="27"/>
  <c r="J59" i="27" s="1"/>
  <c r="H56" i="27"/>
  <c r="H59" i="27" s="1"/>
  <c r="L286" i="27"/>
  <c r="J286" i="27"/>
  <c r="K283" i="27" s="1"/>
  <c r="K282" i="27"/>
  <c r="K278" i="27"/>
  <c r="K274" i="27"/>
  <c r="M269" i="27"/>
  <c r="L269" i="27"/>
  <c r="L202" i="27" s="1"/>
  <c r="K269" i="27"/>
  <c r="J269" i="27"/>
  <c r="K202" i="27" s="1"/>
  <c r="L252" i="27"/>
  <c r="J252" i="27"/>
  <c r="K244" i="27" s="1"/>
  <c r="M246" i="27"/>
  <c r="M240" i="27"/>
  <c r="M238" i="27"/>
  <c r="L233" i="27"/>
  <c r="J233" i="27"/>
  <c r="L232" i="27"/>
  <c r="J232" i="27"/>
  <c r="L231" i="27"/>
  <c r="J231" i="27"/>
  <c r="L230" i="27"/>
  <c r="J230" i="27"/>
  <c r="L229" i="27"/>
  <c r="J229" i="27"/>
  <c r="L228" i="27"/>
  <c r="J228" i="27"/>
  <c r="L227" i="27"/>
  <c r="J227" i="27"/>
  <c r="L226" i="27"/>
  <c r="J226" i="27"/>
  <c r="L225" i="27"/>
  <c r="J225" i="27"/>
  <c r="L224" i="27"/>
  <c r="J224" i="27"/>
  <c r="L223" i="27"/>
  <c r="J223" i="27"/>
  <c r="L222" i="27"/>
  <c r="J222" i="27"/>
  <c r="L221" i="27"/>
  <c r="J221" i="27"/>
  <c r="L207" i="27"/>
  <c r="L187" i="27"/>
  <c r="K168" i="27"/>
  <c r="L167" i="27"/>
  <c r="N146" i="27"/>
  <c r="N145" i="27"/>
  <c r="N128" i="27"/>
  <c r="B115" i="27"/>
  <c r="B182" i="27" s="1"/>
  <c r="B298" i="27" s="1"/>
  <c r="L111" i="27"/>
  <c r="L98" i="27"/>
  <c r="A98" i="27"/>
  <c r="A99" i="27" s="1"/>
  <c r="A100" i="27" s="1"/>
  <c r="A101" i="27" s="1"/>
  <c r="A102" i="27" s="1"/>
  <c r="A103" i="27" s="1"/>
  <c r="A104" i="27" s="1"/>
  <c r="A90" i="27"/>
  <c r="A91" i="27" s="1"/>
  <c r="L85" i="27"/>
  <c r="N84" i="27"/>
  <c r="F75" i="27"/>
  <c r="N70" i="27"/>
  <c r="N69" i="27"/>
  <c r="L59" i="27"/>
  <c r="F59" i="27"/>
  <c r="F72" i="27" s="1"/>
  <c r="D59" i="27"/>
  <c r="D72" i="27" s="1"/>
  <c r="N57" i="27"/>
  <c r="N68" i="27" s="1"/>
  <c r="J47" i="27"/>
  <c r="J46" i="27"/>
  <c r="N40" i="27"/>
  <c r="H30" i="27"/>
  <c r="F30" i="27"/>
  <c r="D30" i="27"/>
  <c r="H29" i="27"/>
  <c r="F29" i="27"/>
  <c r="D29" i="27"/>
  <c r="N28" i="27"/>
  <c r="N119" i="27" s="1"/>
  <c r="N91" i="26"/>
  <c r="N79" i="26"/>
  <c r="N78" i="26"/>
  <c r="L77" i="26"/>
  <c r="L83" i="26" s="1"/>
  <c r="J56" i="26"/>
  <c r="J59" i="26" s="1"/>
  <c r="H56" i="26"/>
  <c r="H59" i="26" s="1"/>
  <c r="L286" i="26"/>
  <c r="M284" i="26" s="1"/>
  <c r="J286" i="26"/>
  <c r="M269" i="26"/>
  <c r="L269" i="26"/>
  <c r="L202" i="26" s="1"/>
  <c r="K269" i="26"/>
  <c r="J269" i="26"/>
  <c r="K202" i="26" s="1"/>
  <c r="L252" i="26"/>
  <c r="L288" i="26" s="1"/>
  <c r="J252" i="26"/>
  <c r="L233" i="26"/>
  <c r="J233" i="26"/>
  <c r="L232" i="26"/>
  <c r="J232" i="26"/>
  <c r="L231" i="26"/>
  <c r="J231" i="26"/>
  <c r="L230" i="26"/>
  <c r="J230" i="26"/>
  <c r="L229" i="26"/>
  <c r="J229" i="26"/>
  <c r="L228" i="26"/>
  <c r="J228" i="26"/>
  <c r="L227" i="26"/>
  <c r="J227" i="26"/>
  <c r="L226" i="26"/>
  <c r="J226" i="26"/>
  <c r="L225" i="26"/>
  <c r="J225" i="26"/>
  <c r="L224" i="26"/>
  <c r="J224" i="26"/>
  <c r="L223" i="26"/>
  <c r="J223" i="26"/>
  <c r="L222" i="26"/>
  <c r="L235" i="26" s="1"/>
  <c r="M227" i="26" s="1"/>
  <c r="J222" i="26"/>
  <c r="L221" i="26"/>
  <c r="J221" i="26"/>
  <c r="L207" i="26"/>
  <c r="L187" i="26"/>
  <c r="K168" i="26"/>
  <c r="L167" i="26"/>
  <c r="N146" i="26"/>
  <c r="N145" i="26"/>
  <c r="N128" i="26"/>
  <c r="B115" i="26"/>
  <c r="B182" i="26" s="1"/>
  <c r="B298" i="26" s="1"/>
  <c r="L111" i="26"/>
  <c r="L98" i="26"/>
  <c r="A98" i="26"/>
  <c r="A99" i="26" s="1"/>
  <c r="A100" i="26" s="1"/>
  <c r="A101" i="26" s="1"/>
  <c r="A102" i="26" s="1"/>
  <c r="A103" i="26" s="1"/>
  <c r="A104" i="26" s="1"/>
  <c r="A90" i="26"/>
  <c r="A91" i="26" s="1"/>
  <c r="L85" i="26"/>
  <c r="N84" i="26"/>
  <c r="F75" i="26"/>
  <c r="N70" i="26"/>
  <c r="N69" i="26"/>
  <c r="L59" i="26"/>
  <c r="F59" i="26"/>
  <c r="D59" i="26"/>
  <c r="D72" i="26" s="1"/>
  <c r="N57" i="26"/>
  <c r="N68" i="26" s="1"/>
  <c r="J47" i="26"/>
  <c r="J46" i="26"/>
  <c r="N40" i="26"/>
  <c r="H30" i="26"/>
  <c r="F30" i="26"/>
  <c r="D30" i="26"/>
  <c r="H29" i="26"/>
  <c r="F29" i="26"/>
  <c r="D29" i="26"/>
  <c r="N28" i="26"/>
  <c r="N119" i="26" s="1"/>
  <c r="N91" i="25"/>
  <c r="N79" i="25"/>
  <c r="N78" i="25"/>
  <c r="N83" i="25" s="1"/>
  <c r="L77" i="25"/>
  <c r="L83" i="25" s="1"/>
  <c r="J56" i="25"/>
  <c r="J59" i="25" s="1"/>
  <c r="H56" i="25"/>
  <c r="L286" i="25"/>
  <c r="L203" i="25" s="1"/>
  <c r="J286" i="25"/>
  <c r="K203" i="25" s="1"/>
  <c r="M269" i="25"/>
  <c r="L269" i="25"/>
  <c r="K269" i="25"/>
  <c r="J269" i="25"/>
  <c r="K202" i="25" s="1"/>
  <c r="L252" i="25"/>
  <c r="J252" i="25"/>
  <c r="K241" i="25"/>
  <c r="L233" i="25"/>
  <c r="J233" i="25"/>
  <c r="L232" i="25"/>
  <c r="J232" i="25"/>
  <c r="L231" i="25"/>
  <c r="J231" i="25"/>
  <c r="L230" i="25"/>
  <c r="J230" i="25"/>
  <c r="L229" i="25"/>
  <c r="J229" i="25"/>
  <c r="L228" i="25"/>
  <c r="J228" i="25"/>
  <c r="L227" i="25"/>
  <c r="J227" i="25"/>
  <c r="L226" i="25"/>
  <c r="J226" i="25"/>
  <c r="L225" i="25"/>
  <c r="J225" i="25"/>
  <c r="L224" i="25"/>
  <c r="J224" i="25"/>
  <c r="L223" i="25"/>
  <c r="J223" i="25"/>
  <c r="L222" i="25"/>
  <c r="J222" i="25"/>
  <c r="L221" i="25"/>
  <c r="J221" i="25"/>
  <c r="L207" i="25"/>
  <c r="L202" i="25"/>
  <c r="L187" i="25"/>
  <c r="K168" i="25"/>
  <c r="L167" i="25"/>
  <c r="N146" i="25"/>
  <c r="N145" i="25"/>
  <c r="N128" i="25"/>
  <c r="B115" i="25"/>
  <c r="B182" i="25" s="1"/>
  <c r="B298" i="25" s="1"/>
  <c r="L111" i="25"/>
  <c r="L98" i="25"/>
  <c r="A98" i="25"/>
  <c r="A99" i="25" s="1"/>
  <c r="A100" i="25" s="1"/>
  <c r="A101" i="25" s="1"/>
  <c r="A102" i="25" s="1"/>
  <c r="A103" i="25" s="1"/>
  <c r="A104" i="25" s="1"/>
  <c r="A90" i="25"/>
  <c r="A91" i="25" s="1"/>
  <c r="L85" i="25"/>
  <c r="N84" i="25"/>
  <c r="F75" i="25"/>
  <c r="N70" i="25"/>
  <c r="N69" i="25"/>
  <c r="L59" i="25"/>
  <c r="F59" i="25"/>
  <c r="F72" i="25" s="1"/>
  <c r="D59" i="25"/>
  <c r="D72" i="25" s="1"/>
  <c r="N57" i="25"/>
  <c r="N68" i="25" s="1"/>
  <c r="H59" i="25"/>
  <c r="J47" i="25"/>
  <c r="J46" i="25"/>
  <c r="N40" i="25"/>
  <c r="H30" i="25"/>
  <c r="F30" i="25"/>
  <c r="D30" i="25"/>
  <c r="H29" i="25"/>
  <c r="F29" i="25"/>
  <c r="D29" i="25"/>
  <c r="N28" i="25"/>
  <c r="N119" i="25" s="1"/>
  <c r="N91" i="24"/>
  <c r="N79" i="24"/>
  <c r="N78" i="24"/>
  <c r="L77" i="24"/>
  <c r="L83" i="24" s="1"/>
  <c r="H56" i="24"/>
  <c r="J56" i="24"/>
  <c r="B115" i="24"/>
  <c r="B182" i="24" s="1"/>
  <c r="B298" i="24" s="1"/>
  <c r="L286" i="24"/>
  <c r="M272" i="24" s="1"/>
  <c r="L269" i="24"/>
  <c r="L252" i="24"/>
  <c r="M238" i="24" s="1"/>
  <c r="J286" i="24"/>
  <c r="J269" i="24"/>
  <c r="J252" i="24"/>
  <c r="K248" i="24" s="1"/>
  <c r="M269" i="24"/>
  <c r="K269" i="24"/>
  <c r="L221" i="24"/>
  <c r="L222" i="24"/>
  <c r="L223" i="24"/>
  <c r="L224" i="24"/>
  <c r="L225" i="24"/>
  <c r="L226" i="24"/>
  <c r="L227" i="24"/>
  <c r="L228" i="24"/>
  <c r="L229" i="24"/>
  <c r="L230" i="24"/>
  <c r="L231" i="24"/>
  <c r="L232" i="24"/>
  <c r="L233" i="24"/>
  <c r="J221" i="24"/>
  <c r="J222" i="24"/>
  <c r="J223" i="24"/>
  <c r="J224" i="24"/>
  <c r="J225" i="24"/>
  <c r="J226" i="24"/>
  <c r="J227" i="24"/>
  <c r="J228" i="24"/>
  <c r="J229" i="24"/>
  <c r="J230" i="24"/>
  <c r="J231" i="24"/>
  <c r="J232" i="24"/>
  <c r="J233" i="24"/>
  <c r="L207" i="24"/>
  <c r="K202" i="24"/>
  <c r="N84" i="24"/>
  <c r="F59" i="24"/>
  <c r="D29" i="24"/>
  <c r="F29" i="24"/>
  <c r="H29" i="24"/>
  <c r="L187" i="24"/>
  <c r="K168" i="24"/>
  <c r="L167" i="24"/>
  <c r="N167" i="24" s="1"/>
  <c r="N57" i="24"/>
  <c r="N68" i="24" s="1"/>
  <c r="N69" i="24"/>
  <c r="N70" i="24"/>
  <c r="N145" i="24"/>
  <c r="N147" i="24" s="1"/>
  <c r="N146" i="24"/>
  <c r="N128" i="24"/>
  <c r="N28" i="24"/>
  <c r="L85" i="24"/>
  <c r="L111" i="24"/>
  <c r="L98" i="24"/>
  <c r="A98" i="24"/>
  <c r="A99" i="24" s="1"/>
  <c r="A100" i="24" s="1"/>
  <c r="A101" i="24" s="1"/>
  <c r="A102" i="24" s="1"/>
  <c r="A103" i="24" s="1"/>
  <c r="A104" i="24" s="1"/>
  <c r="A90" i="24"/>
  <c r="A91" i="24" s="1"/>
  <c r="F75" i="24"/>
  <c r="D59" i="24"/>
  <c r="D72" i="24" s="1"/>
  <c r="L59" i="24"/>
  <c r="J47" i="24"/>
  <c r="J46" i="24"/>
  <c r="F30" i="24"/>
  <c r="H30" i="24"/>
  <c r="D30" i="24"/>
  <c r="N40" i="24"/>
  <c r="H56" i="23"/>
  <c r="L197" i="23" s="1"/>
  <c r="N91" i="23"/>
  <c r="N79" i="23"/>
  <c r="N78" i="23"/>
  <c r="J56" i="23"/>
  <c r="J59" i="23" s="1"/>
  <c r="L286" i="23"/>
  <c r="J286" i="23"/>
  <c r="K284" i="23" s="1"/>
  <c r="M269" i="23"/>
  <c r="L269" i="23"/>
  <c r="L202" i="23" s="1"/>
  <c r="K269" i="23"/>
  <c r="J269" i="23"/>
  <c r="K202" i="23" s="1"/>
  <c r="L252" i="23"/>
  <c r="J252" i="23"/>
  <c r="K239" i="23" s="1"/>
  <c r="L233" i="23"/>
  <c r="J233" i="23"/>
  <c r="L232" i="23"/>
  <c r="J232" i="23"/>
  <c r="L231" i="23"/>
  <c r="J231" i="23"/>
  <c r="L230" i="23"/>
  <c r="J230" i="23"/>
  <c r="L229" i="23"/>
  <c r="J229" i="23"/>
  <c r="L228" i="23"/>
  <c r="J228" i="23"/>
  <c r="L227" i="23"/>
  <c r="J227" i="23"/>
  <c r="L226" i="23"/>
  <c r="J226" i="23"/>
  <c r="L225" i="23"/>
  <c r="J225" i="23"/>
  <c r="L224" i="23"/>
  <c r="J224" i="23"/>
  <c r="L223" i="23"/>
  <c r="J223" i="23"/>
  <c r="L222" i="23"/>
  <c r="J222" i="23"/>
  <c r="L221" i="23"/>
  <c r="J221" i="23"/>
  <c r="L207" i="23"/>
  <c r="L187" i="23"/>
  <c r="K168" i="23"/>
  <c r="L167" i="23"/>
  <c r="N146" i="23"/>
  <c r="N145" i="23"/>
  <c r="N128" i="23"/>
  <c r="B115" i="23"/>
  <c r="B182" i="23" s="1"/>
  <c r="B298" i="23" s="1"/>
  <c r="L111" i="23"/>
  <c r="L98" i="23"/>
  <c r="A98" i="23"/>
  <c r="A99" i="23" s="1"/>
  <c r="A100" i="23" s="1"/>
  <c r="A101" i="23" s="1"/>
  <c r="A102" i="23" s="1"/>
  <c r="A103" i="23" s="1"/>
  <c r="A104" i="23" s="1"/>
  <c r="A90" i="23"/>
  <c r="A91" i="23" s="1"/>
  <c r="L85" i="23"/>
  <c r="N84" i="23"/>
  <c r="L83" i="23"/>
  <c r="F75" i="23"/>
  <c r="N70" i="23"/>
  <c r="N69" i="23"/>
  <c r="L59" i="23"/>
  <c r="F59" i="23"/>
  <c r="F72" i="23" s="1"/>
  <c r="D59" i="23"/>
  <c r="D72" i="23" s="1"/>
  <c r="N57" i="23"/>
  <c r="N68" i="23" s="1"/>
  <c r="J47" i="23"/>
  <c r="J46" i="23"/>
  <c r="N40" i="23"/>
  <c r="H30" i="23"/>
  <c r="F30" i="23"/>
  <c r="D30" i="23"/>
  <c r="H29" i="23"/>
  <c r="F29" i="23"/>
  <c r="D29" i="23"/>
  <c r="N28" i="23"/>
  <c r="N42" i="23" s="1"/>
  <c r="H56" i="22"/>
  <c r="L197" i="22" s="1"/>
  <c r="N91" i="22"/>
  <c r="N79" i="22"/>
  <c r="N78" i="22"/>
  <c r="J56" i="22"/>
  <c r="J59" i="22" s="1"/>
  <c r="L286" i="22"/>
  <c r="M272" i="22" s="1"/>
  <c r="J286" i="22"/>
  <c r="M284" i="22"/>
  <c r="M274" i="22"/>
  <c r="M269" i="22"/>
  <c r="L269" i="22"/>
  <c r="L202" i="22" s="1"/>
  <c r="K269" i="22"/>
  <c r="J269" i="22"/>
  <c r="K202" i="22" s="1"/>
  <c r="L252" i="22"/>
  <c r="L288" i="22" s="1"/>
  <c r="J252" i="22"/>
  <c r="L233" i="22"/>
  <c r="J233" i="22"/>
  <c r="L232" i="22"/>
  <c r="J232" i="22"/>
  <c r="L231" i="22"/>
  <c r="J231" i="22"/>
  <c r="L230" i="22"/>
  <c r="M230" i="22" s="1"/>
  <c r="J230" i="22"/>
  <c r="L229" i="22"/>
  <c r="J229" i="22"/>
  <c r="L228" i="22"/>
  <c r="M228" i="22" s="1"/>
  <c r="J228" i="22"/>
  <c r="L227" i="22"/>
  <c r="J227" i="22"/>
  <c r="L226" i="22"/>
  <c r="J226" i="22"/>
  <c r="L225" i="22"/>
  <c r="J225" i="22"/>
  <c r="L224" i="22"/>
  <c r="J224" i="22"/>
  <c r="L223" i="22"/>
  <c r="J223" i="22"/>
  <c r="L222" i="22"/>
  <c r="L235" i="22" s="1"/>
  <c r="J222" i="22"/>
  <c r="L221" i="22"/>
  <c r="J221" i="22"/>
  <c r="L207" i="22"/>
  <c r="L203" i="22"/>
  <c r="L187" i="22"/>
  <c r="K168" i="22"/>
  <c r="L167" i="22"/>
  <c r="N167" i="22" s="1"/>
  <c r="N146" i="22"/>
  <c r="N145" i="22"/>
  <c r="N128" i="22"/>
  <c r="B115" i="22"/>
  <c r="B182" i="22" s="1"/>
  <c r="B298" i="22" s="1"/>
  <c r="L111" i="22"/>
  <c r="L98" i="22"/>
  <c r="A98" i="22"/>
  <c r="A99" i="22" s="1"/>
  <c r="A100" i="22" s="1"/>
  <c r="A101" i="22" s="1"/>
  <c r="A102" i="22" s="1"/>
  <c r="A103" i="22" s="1"/>
  <c r="A104" i="22" s="1"/>
  <c r="A90" i="22"/>
  <c r="A91" i="22" s="1"/>
  <c r="L85" i="22"/>
  <c r="N84" i="22"/>
  <c r="L83" i="22"/>
  <c r="F75" i="22"/>
  <c r="N70" i="22"/>
  <c r="N69" i="22"/>
  <c r="L59" i="22"/>
  <c r="F59" i="22"/>
  <c r="F72" i="22" s="1"/>
  <c r="D59" i="22"/>
  <c r="D72" i="22" s="1"/>
  <c r="N57" i="22"/>
  <c r="N68" i="22" s="1"/>
  <c r="J47" i="22"/>
  <c r="J46" i="22"/>
  <c r="N40" i="22"/>
  <c r="H30" i="22"/>
  <c r="F30" i="22"/>
  <c r="D30" i="22"/>
  <c r="H29" i="22"/>
  <c r="F29" i="22"/>
  <c r="D29" i="22"/>
  <c r="N28" i="22"/>
  <c r="N42" i="22" s="1"/>
  <c r="J56" i="21"/>
  <c r="J59" i="21" s="1"/>
  <c r="N91" i="21"/>
  <c r="N79" i="21"/>
  <c r="N78" i="21"/>
  <c r="H56" i="21"/>
  <c r="L286" i="21"/>
  <c r="M283" i="21" s="1"/>
  <c r="J286" i="21"/>
  <c r="K272" i="21" s="1"/>
  <c r="M269" i="21"/>
  <c r="L269" i="21"/>
  <c r="L202" i="21" s="1"/>
  <c r="K269" i="21"/>
  <c r="J269" i="21"/>
  <c r="K202" i="21" s="1"/>
  <c r="L252" i="21"/>
  <c r="J252" i="21"/>
  <c r="L233" i="21"/>
  <c r="J233" i="21"/>
  <c r="L232" i="21"/>
  <c r="J232" i="21"/>
  <c r="L231" i="21"/>
  <c r="J231" i="21"/>
  <c r="L230" i="21"/>
  <c r="J230" i="21"/>
  <c r="L229" i="21"/>
  <c r="J229" i="21"/>
  <c r="L228" i="21"/>
  <c r="J228" i="21"/>
  <c r="L227" i="21"/>
  <c r="J227" i="21"/>
  <c r="L226" i="21"/>
  <c r="J226" i="21"/>
  <c r="L225" i="21"/>
  <c r="J225" i="21"/>
  <c r="L224" i="21"/>
  <c r="J224" i="21"/>
  <c r="L223" i="21"/>
  <c r="J223" i="21"/>
  <c r="L222" i="21"/>
  <c r="L235" i="21" s="1"/>
  <c r="M223" i="21" s="1"/>
  <c r="J222" i="21"/>
  <c r="L221" i="21"/>
  <c r="J221" i="21"/>
  <c r="L207" i="21"/>
  <c r="L187" i="21"/>
  <c r="K168" i="21"/>
  <c r="L167" i="21"/>
  <c r="N146" i="21"/>
  <c r="N145" i="21"/>
  <c r="N128" i="21"/>
  <c r="B115" i="21"/>
  <c r="B182" i="21" s="1"/>
  <c r="B298" i="21" s="1"/>
  <c r="L111" i="21"/>
  <c r="L98" i="21"/>
  <c r="A98" i="21"/>
  <c r="A99" i="21" s="1"/>
  <c r="A100" i="21" s="1"/>
  <c r="A101" i="21" s="1"/>
  <c r="A102" i="21" s="1"/>
  <c r="A103" i="21" s="1"/>
  <c r="A104" i="21" s="1"/>
  <c r="A90" i="21"/>
  <c r="A91" i="21" s="1"/>
  <c r="L85" i="21"/>
  <c r="N84" i="21"/>
  <c r="L83" i="21"/>
  <c r="F75" i="21"/>
  <c r="N70" i="21"/>
  <c r="N69" i="21"/>
  <c r="L59" i="21"/>
  <c r="F59" i="21"/>
  <c r="F72" i="21" s="1"/>
  <c r="D59" i="21"/>
  <c r="D72" i="21" s="1"/>
  <c r="N57" i="21"/>
  <c r="N68" i="21" s="1"/>
  <c r="J47" i="21"/>
  <c r="J46" i="21"/>
  <c r="N40" i="21"/>
  <c r="H30" i="21"/>
  <c r="F30" i="21"/>
  <c r="D30" i="21"/>
  <c r="H29" i="21"/>
  <c r="F29" i="21"/>
  <c r="D29" i="21"/>
  <c r="N28" i="21"/>
  <c r="N42" i="21" s="1"/>
  <c r="N91" i="20"/>
  <c r="N79" i="20"/>
  <c r="N78" i="20"/>
  <c r="J56" i="20"/>
  <c r="J59" i="20" s="1"/>
  <c r="H56" i="20"/>
  <c r="N56" i="20" s="1"/>
  <c r="L286" i="20"/>
  <c r="J286" i="20"/>
  <c r="K203" i="20" s="1"/>
  <c r="M269" i="20"/>
  <c r="L269" i="20"/>
  <c r="K269" i="20"/>
  <c r="J269" i="20"/>
  <c r="K202" i="20" s="1"/>
  <c r="L252" i="20"/>
  <c r="J252" i="20"/>
  <c r="J288" i="20" s="1"/>
  <c r="L233" i="20"/>
  <c r="J233" i="20"/>
  <c r="L232" i="20"/>
  <c r="J232" i="20"/>
  <c r="L231" i="20"/>
  <c r="J231" i="20"/>
  <c r="L230" i="20"/>
  <c r="J230" i="20"/>
  <c r="L229" i="20"/>
  <c r="J229" i="20"/>
  <c r="L228" i="20"/>
  <c r="J228" i="20"/>
  <c r="L227" i="20"/>
  <c r="J227" i="20"/>
  <c r="L226" i="20"/>
  <c r="J226" i="20"/>
  <c r="L225" i="20"/>
  <c r="J225" i="20"/>
  <c r="L224" i="20"/>
  <c r="J224" i="20"/>
  <c r="L223" i="20"/>
  <c r="J223" i="20"/>
  <c r="L222" i="20"/>
  <c r="J222" i="20"/>
  <c r="J235" i="20" s="1"/>
  <c r="L221" i="20"/>
  <c r="J221" i="20"/>
  <c r="L207" i="20"/>
  <c r="L187" i="20"/>
  <c r="K168" i="20"/>
  <c r="L167" i="20"/>
  <c r="N146" i="20"/>
  <c r="N145" i="20"/>
  <c r="N147" i="20" s="1"/>
  <c r="N128" i="20"/>
  <c r="B115" i="20"/>
  <c r="B182" i="20" s="1"/>
  <c r="B298" i="20" s="1"/>
  <c r="L111" i="20"/>
  <c r="L98" i="20"/>
  <c r="A98" i="20"/>
  <c r="A99" i="20" s="1"/>
  <c r="A100" i="20" s="1"/>
  <c r="A101" i="20" s="1"/>
  <c r="A102" i="20" s="1"/>
  <c r="A103" i="20" s="1"/>
  <c r="A104" i="20" s="1"/>
  <c r="A90" i="20"/>
  <c r="A91" i="20" s="1"/>
  <c r="L85" i="20"/>
  <c r="N84" i="20"/>
  <c r="N87" i="20" s="1"/>
  <c r="N177" i="20" s="1"/>
  <c r="L83" i="20"/>
  <c r="N83" i="20"/>
  <c r="F75" i="20"/>
  <c r="N70" i="20"/>
  <c r="N69" i="20"/>
  <c r="L59" i="20"/>
  <c r="F59" i="20"/>
  <c r="F72" i="20" s="1"/>
  <c r="D59" i="20"/>
  <c r="D72" i="20" s="1"/>
  <c r="N57" i="20"/>
  <c r="N68" i="20" s="1"/>
  <c r="J47" i="20"/>
  <c r="J46" i="20"/>
  <c r="N40" i="20"/>
  <c r="H30" i="20"/>
  <c r="F30" i="20"/>
  <c r="D30" i="20"/>
  <c r="H29" i="20"/>
  <c r="F29" i="20"/>
  <c r="D29" i="20"/>
  <c r="N28" i="20"/>
  <c r="N91" i="19"/>
  <c r="N79" i="19"/>
  <c r="N78" i="19"/>
  <c r="L77" i="19"/>
  <c r="L83" i="19" s="1"/>
  <c r="H56" i="19"/>
  <c r="H59" i="19" s="1"/>
  <c r="J56" i="19"/>
  <c r="J59" i="19" s="1"/>
  <c r="N28" i="19"/>
  <c r="N119" i="19" s="1"/>
  <c r="D29" i="19"/>
  <c r="F29" i="19"/>
  <c r="H29" i="19"/>
  <c r="D30" i="19"/>
  <c r="F30" i="19"/>
  <c r="H30" i="19"/>
  <c r="N40" i="19"/>
  <c r="N42" i="19"/>
  <c r="J46" i="19"/>
  <c r="J47" i="19"/>
  <c r="N57" i="19"/>
  <c r="N68" i="19" s="1"/>
  <c r="D59" i="19"/>
  <c r="D72" i="19" s="1"/>
  <c r="F59" i="19"/>
  <c r="L59" i="19"/>
  <c r="N69" i="19"/>
  <c r="N70" i="19"/>
  <c r="F72" i="19"/>
  <c r="F75" i="19"/>
  <c r="N84" i="19"/>
  <c r="L85" i="19"/>
  <c r="A90" i="19"/>
  <c r="A91" i="19" s="1"/>
  <c r="A98" i="19"/>
  <c r="A99" i="19" s="1"/>
  <c r="A100" i="19" s="1"/>
  <c r="A101" i="19" s="1"/>
  <c r="A102" i="19" s="1"/>
  <c r="A103" i="19" s="1"/>
  <c r="A104" i="19" s="1"/>
  <c r="L98" i="19"/>
  <c r="L111" i="19"/>
  <c r="B115" i="19"/>
  <c r="B182" i="19" s="1"/>
  <c r="B298" i="19" s="1"/>
  <c r="N128" i="19"/>
  <c r="N145" i="19"/>
  <c r="N146" i="19"/>
  <c r="L167" i="19"/>
  <c r="N167" i="19" s="1"/>
  <c r="K168" i="19"/>
  <c r="L187" i="19"/>
  <c r="L207" i="19"/>
  <c r="J221" i="19"/>
  <c r="L221" i="19"/>
  <c r="J222" i="19"/>
  <c r="L222" i="19"/>
  <c r="J223" i="19"/>
  <c r="L223" i="19"/>
  <c r="J224" i="19"/>
  <c r="L224" i="19"/>
  <c r="J225" i="19"/>
  <c r="L225" i="19"/>
  <c r="J226" i="19"/>
  <c r="L226" i="19"/>
  <c r="J227" i="19"/>
  <c r="L227" i="19"/>
  <c r="J228" i="19"/>
  <c r="L228" i="19"/>
  <c r="J229" i="19"/>
  <c r="L229" i="19"/>
  <c r="J230" i="19"/>
  <c r="L230" i="19"/>
  <c r="J231" i="19"/>
  <c r="L231" i="19"/>
  <c r="J232" i="19"/>
  <c r="L232" i="19"/>
  <c r="J233" i="19"/>
  <c r="L233" i="19"/>
  <c r="J252" i="19"/>
  <c r="K241" i="19" s="1"/>
  <c r="L252" i="19"/>
  <c r="J269" i="19"/>
  <c r="K202" i="19" s="1"/>
  <c r="K269" i="19"/>
  <c r="L269" i="19"/>
  <c r="L202" i="19" s="1"/>
  <c r="M269" i="19"/>
  <c r="J286" i="19"/>
  <c r="K273" i="19" s="1"/>
  <c r="L286" i="19"/>
  <c r="M273" i="19" s="1"/>
  <c r="N91" i="18"/>
  <c r="N79" i="18"/>
  <c r="N78" i="18"/>
  <c r="L77" i="18"/>
  <c r="L83" i="18" s="1"/>
  <c r="J56" i="18"/>
  <c r="J59" i="18" s="1"/>
  <c r="H56" i="18"/>
  <c r="L77" i="16"/>
  <c r="L83" i="16" s="1"/>
  <c r="N78" i="16"/>
  <c r="L77" i="15"/>
  <c r="L83" i="15" s="1"/>
  <c r="N78" i="15"/>
  <c r="N146" i="13"/>
  <c r="L77" i="13"/>
  <c r="L83" i="13" s="1"/>
  <c r="N78" i="13"/>
  <c r="N147" i="9"/>
  <c r="L78" i="9"/>
  <c r="L84" i="9" s="1"/>
  <c r="N79" i="9"/>
  <c r="N147" i="8"/>
  <c r="L78" i="8"/>
  <c r="N79" i="8"/>
  <c r="N147" i="5"/>
  <c r="L78" i="5"/>
  <c r="L84" i="5" s="1"/>
  <c r="N79" i="5"/>
  <c r="N146" i="2"/>
  <c r="L78" i="2"/>
  <c r="L84" i="2" s="1"/>
  <c r="N79" i="2"/>
  <c r="N28" i="18"/>
  <c r="D29" i="18"/>
  <c r="F29" i="18"/>
  <c r="H29" i="18"/>
  <c r="D30" i="18"/>
  <c r="F30" i="18"/>
  <c r="H30" i="18"/>
  <c r="N40" i="18"/>
  <c r="J46" i="18"/>
  <c r="J47" i="18"/>
  <c r="N57" i="18"/>
  <c r="N68" i="18" s="1"/>
  <c r="D59" i="18"/>
  <c r="D72" i="18" s="1"/>
  <c r="F59" i="18"/>
  <c r="F72" i="18" s="1"/>
  <c r="L59" i="18"/>
  <c r="N69" i="18"/>
  <c r="N70" i="18"/>
  <c r="F75" i="18"/>
  <c r="N84" i="18"/>
  <c r="L85" i="18"/>
  <c r="A90" i="18"/>
  <c r="A91" i="18" s="1"/>
  <c r="A98" i="18"/>
  <c r="A99" i="18" s="1"/>
  <c r="A100" i="18" s="1"/>
  <c r="A101" i="18" s="1"/>
  <c r="A102" i="18" s="1"/>
  <c r="A103" i="18" s="1"/>
  <c r="A104" i="18" s="1"/>
  <c r="L98" i="18"/>
  <c r="L111" i="18"/>
  <c r="B115" i="18"/>
  <c r="B182" i="18" s="1"/>
  <c r="B298" i="18" s="1"/>
  <c r="N128" i="18"/>
  <c r="N145" i="18"/>
  <c r="N146" i="18"/>
  <c r="L167" i="18"/>
  <c r="N167" i="18" s="1"/>
  <c r="K168" i="18"/>
  <c r="L187" i="18"/>
  <c r="L207" i="18"/>
  <c r="J221" i="18"/>
  <c r="J222" i="18"/>
  <c r="J223" i="18"/>
  <c r="J224" i="18"/>
  <c r="J225" i="18"/>
  <c r="J226" i="18"/>
  <c r="J227" i="18"/>
  <c r="J228" i="18"/>
  <c r="J229" i="18"/>
  <c r="J230" i="18"/>
  <c r="J231" i="18"/>
  <c r="J232" i="18"/>
  <c r="J233" i="18"/>
  <c r="L221" i="18"/>
  <c r="L222" i="18"/>
  <c r="L223" i="18"/>
  <c r="L224" i="18"/>
  <c r="L225" i="18"/>
  <c r="L226" i="18"/>
  <c r="L227" i="18"/>
  <c r="L228" i="18"/>
  <c r="L229" i="18"/>
  <c r="L230" i="18"/>
  <c r="L231" i="18"/>
  <c r="L232" i="18"/>
  <c r="L233" i="18"/>
  <c r="L252" i="18"/>
  <c r="J252" i="18"/>
  <c r="K240" i="18" s="1"/>
  <c r="J269" i="18"/>
  <c r="K269" i="18"/>
  <c r="L269" i="18"/>
  <c r="L202" i="18" s="1"/>
  <c r="M269" i="18"/>
  <c r="J286" i="18"/>
  <c r="L286" i="18"/>
  <c r="J286" i="17"/>
  <c r="K277" i="17" s="1"/>
  <c r="N162" i="4"/>
  <c r="N159" i="5" s="1"/>
  <c r="N160" i="5"/>
  <c r="N160" i="6"/>
  <c r="N160" i="7"/>
  <c r="N160" i="8"/>
  <c r="N160" i="9"/>
  <c r="N78" i="17"/>
  <c r="N91" i="17"/>
  <c r="N79" i="17"/>
  <c r="L77" i="17"/>
  <c r="L83" i="17" s="1"/>
  <c r="J56" i="17"/>
  <c r="J59" i="17" s="1"/>
  <c r="H56" i="17"/>
  <c r="D29" i="17"/>
  <c r="F29" i="17"/>
  <c r="H29" i="17"/>
  <c r="D30" i="17"/>
  <c r="F30" i="17"/>
  <c r="H30" i="17"/>
  <c r="N28" i="17"/>
  <c r="N42" i="17" s="1"/>
  <c r="N40" i="17"/>
  <c r="J46" i="17"/>
  <c r="J47" i="17"/>
  <c r="N57" i="17"/>
  <c r="N68" i="17" s="1"/>
  <c r="D59" i="17"/>
  <c r="D72" i="17" s="1"/>
  <c r="F59" i="17"/>
  <c r="F72" i="17" s="1"/>
  <c r="L59" i="17"/>
  <c r="N69" i="17"/>
  <c r="N70" i="17"/>
  <c r="F75" i="17"/>
  <c r="N84" i="17"/>
  <c r="L85" i="17"/>
  <c r="A90" i="17"/>
  <c r="A91" i="17" s="1"/>
  <c r="A98" i="17"/>
  <c r="A99" i="17" s="1"/>
  <c r="A100" i="17" s="1"/>
  <c r="A101" i="17" s="1"/>
  <c r="A102" i="17" s="1"/>
  <c r="A103" i="17" s="1"/>
  <c r="A104" i="17" s="1"/>
  <c r="L98" i="17"/>
  <c r="L111" i="17"/>
  <c r="B115" i="17"/>
  <c r="B182" i="17" s="1"/>
  <c r="B298" i="17" s="1"/>
  <c r="N128" i="17"/>
  <c r="N145" i="17"/>
  <c r="N146" i="17"/>
  <c r="L167" i="17"/>
  <c r="N167" i="17" s="1"/>
  <c r="K168" i="17"/>
  <c r="L187" i="17"/>
  <c r="L207" i="17"/>
  <c r="J221" i="17"/>
  <c r="L221" i="17"/>
  <c r="J222" i="17"/>
  <c r="L222" i="17"/>
  <c r="J223" i="17"/>
  <c r="L223" i="17"/>
  <c r="J224" i="17"/>
  <c r="L224" i="17"/>
  <c r="J225" i="17"/>
  <c r="L225" i="17"/>
  <c r="J226" i="17"/>
  <c r="L226" i="17"/>
  <c r="J227" i="17"/>
  <c r="L227" i="17"/>
  <c r="J228" i="17"/>
  <c r="L228" i="17"/>
  <c r="J229" i="17"/>
  <c r="J231" i="17"/>
  <c r="J232" i="17"/>
  <c r="J230" i="17"/>
  <c r="J233" i="17"/>
  <c r="L229" i="17"/>
  <c r="L231" i="17"/>
  <c r="L232" i="17"/>
  <c r="L230" i="17"/>
  <c r="L233" i="17"/>
  <c r="J252" i="17"/>
  <c r="L252" i="17"/>
  <c r="J269" i="17"/>
  <c r="K202" i="17" s="1"/>
  <c r="K269" i="17"/>
  <c r="L269" i="17"/>
  <c r="L202" i="17" s="1"/>
  <c r="M269" i="17"/>
  <c r="L286" i="17"/>
  <c r="H56" i="16"/>
  <c r="N79" i="16"/>
  <c r="N91" i="16"/>
  <c r="J56" i="16"/>
  <c r="J59" i="16" s="1"/>
  <c r="N28" i="16"/>
  <c r="N42" i="16" s="1"/>
  <c r="D29" i="16"/>
  <c r="F29" i="16"/>
  <c r="H29" i="16"/>
  <c r="N29" i="16" s="1"/>
  <c r="N34" i="16" s="1"/>
  <c r="L189" i="16" s="1"/>
  <c r="L190" i="16" s="1"/>
  <c r="D30" i="16"/>
  <c r="F30" i="16"/>
  <c r="H30" i="16"/>
  <c r="N40" i="16"/>
  <c r="J46" i="16"/>
  <c r="J47" i="16"/>
  <c r="N57" i="16"/>
  <c r="N68" i="16" s="1"/>
  <c r="D59" i="16"/>
  <c r="D72" i="16" s="1"/>
  <c r="F59" i="16"/>
  <c r="F72" i="16" s="1"/>
  <c r="L59" i="16"/>
  <c r="N69" i="16"/>
  <c r="N70" i="16"/>
  <c r="F75" i="16"/>
  <c r="N84" i="16"/>
  <c r="L85" i="16"/>
  <c r="A90" i="16"/>
  <c r="A91" i="16" s="1"/>
  <c r="A98" i="16"/>
  <c r="A99" i="16" s="1"/>
  <c r="A100" i="16" s="1"/>
  <c r="A101" i="16" s="1"/>
  <c r="A102" i="16" s="1"/>
  <c r="A103" i="16" s="1"/>
  <c r="A104" i="16" s="1"/>
  <c r="L98" i="16"/>
  <c r="N144" i="16" s="1"/>
  <c r="L207" i="16" s="1"/>
  <c r="L111" i="16"/>
  <c r="B115" i="16"/>
  <c r="B182" i="16" s="1"/>
  <c r="B298" i="16" s="1"/>
  <c r="N128" i="16"/>
  <c r="N146" i="16"/>
  <c r="L167" i="16"/>
  <c r="N167" i="16" s="1"/>
  <c r="K168" i="16"/>
  <c r="L187" i="16"/>
  <c r="J221" i="16"/>
  <c r="J222" i="16"/>
  <c r="J223" i="16"/>
  <c r="J224" i="16"/>
  <c r="J225" i="16"/>
  <c r="J226" i="16"/>
  <c r="J227" i="16"/>
  <c r="J228" i="16"/>
  <c r="J229" i="16"/>
  <c r="J230" i="16"/>
  <c r="J232" i="16"/>
  <c r="J233" i="16"/>
  <c r="J231" i="16"/>
  <c r="L221" i="16"/>
  <c r="L222" i="16"/>
  <c r="L223" i="16"/>
  <c r="L224" i="16"/>
  <c r="L225" i="16"/>
  <c r="L226" i="16"/>
  <c r="L227" i="16"/>
  <c r="L228" i="16"/>
  <c r="L229" i="16"/>
  <c r="L230" i="16"/>
  <c r="L231" i="16"/>
  <c r="L232" i="16"/>
  <c r="L233" i="16"/>
  <c r="J252" i="16"/>
  <c r="K243" i="16" s="1"/>
  <c r="L252" i="16"/>
  <c r="M248" i="16" s="1"/>
  <c r="J269" i="16"/>
  <c r="K202" i="16" s="1"/>
  <c r="K269" i="16"/>
  <c r="L269" i="16"/>
  <c r="L202" i="16" s="1"/>
  <c r="M269" i="16"/>
  <c r="J286" i="16"/>
  <c r="L286" i="16"/>
  <c r="M279" i="16" s="1"/>
  <c r="N91" i="15"/>
  <c r="N79" i="15"/>
  <c r="H56" i="15"/>
  <c r="J56" i="15"/>
  <c r="J59" i="15" s="1"/>
  <c r="N28" i="15"/>
  <c r="N119" i="15" s="1"/>
  <c r="D29" i="15"/>
  <c r="F29" i="15"/>
  <c r="H29" i="15"/>
  <c r="D30" i="15"/>
  <c r="F30" i="15"/>
  <c r="H30" i="15"/>
  <c r="N40" i="15"/>
  <c r="N42" i="15"/>
  <c r="J46" i="15"/>
  <c r="J47" i="15"/>
  <c r="N57" i="15"/>
  <c r="N68" i="15" s="1"/>
  <c r="N69" i="15"/>
  <c r="N70" i="15"/>
  <c r="D59" i="15"/>
  <c r="D72" i="15" s="1"/>
  <c r="F59" i="15"/>
  <c r="F72" i="15" s="1"/>
  <c r="L59" i="15"/>
  <c r="F75" i="15"/>
  <c r="N84" i="15"/>
  <c r="L85" i="15"/>
  <c r="L111" i="15"/>
  <c r="L98" i="15"/>
  <c r="N144" i="15" s="1"/>
  <c r="L207" i="15" s="1"/>
  <c r="A90" i="15"/>
  <c r="A91" i="15" s="1"/>
  <c r="A98" i="15"/>
  <c r="A99" i="15" s="1"/>
  <c r="A100" i="15" s="1"/>
  <c r="A101" i="15" s="1"/>
  <c r="A102" i="15" s="1"/>
  <c r="A103" i="15" s="1"/>
  <c r="A104" i="15" s="1"/>
  <c r="B115" i="15"/>
  <c r="B182" i="15" s="1"/>
  <c r="B298" i="15" s="1"/>
  <c r="N128" i="15"/>
  <c r="N146" i="15"/>
  <c r="L167" i="15"/>
  <c r="N167" i="15" s="1"/>
  <c r="K168" i="15"/>
  <c r="L187" i="15"/>
  <c r="J269" i="15"/>
  <c r="K202" i="15" s="1"/>
  <c r="L269" i="15"/>
  <c r="J286" i="15"/>
  <c r="L286" i="15"/>
  <c r="M280" i="15" s="1"/>
  <c r="J221" i="15"/>
  <c r="J222" i="15"/>
  <c r="J223" i="15"/>
  <c r="J224" i="15"/>
  <c r="J225" i="15"/>
  <c r="J226" i="15"/>
  <c r="J227" i="15"/>
  <c r="J228" i="15"/>
  <c r="J229" i="15"/>
  <c r="J230" i="15"/>
  <c r="J231" i="15"/>
  <c r="J232" i="15"/>
  <c r="J233" i="15"/>
  <c r="L221" i="15"/>
  <c r="L222" i="15"/>
  <c r="L223" i="15"/>
  <c r="L224" i="15"/>
  <c r="L225" i="15"/>
  <c r="L226" i="15"/>
  <c r="L227" i="15"/>
  <c r="L228" i="15"/>
  <c r="L229" i="15"/>
  <c r="L230" i="15"/>
  <c r="L231" i="15"/>
  <c r="L233" i="15"/>
  <c r="L232" i="15"/>
  <c r="J252" i="15"/>
  <c r="L252" i="15"/>
  <c r="M244" i="15" s="1"/>
  <c r="K269" i="15"/>
  <c r="M269" i="15"/>
  <c r="K276" i="15"/>
  <c r="N146" i="14"/>
  <c r="N145" i="14"/>
  <c r="L231" i="14"/>
  <c r="L228" i="14"/>
  <c r="L232" i="14"/>
  <c r="L229" i="14"/>
  <c r="L230" i="14"/>
  <c r="L225" i="14"/>
  <c r="L221" i="14"/>
  <c r="L222" i="14"/>
  <c r="L223" i="14"/>
  <c r="L224" i="14"/>
  <c r="L226" i="14"/>
  <c r="L227" i="14"/>
  <c r="L233" i="14"/>
  <c r="J228" i="14"/>
  <c r="J231" i="14"/>
  <c r="J232" i="14"/>
  <c r="J229" i="14"/>
  <c r="J230" i="14"/>
  <c r="J225" i="14"/>
  <c r="J221" i="14"/>
  <c r="J222" i="14"/>
  <c r="J223" i="14"/>
  <c r="J224" i="14"/>
  <c r="J227" i="14"/>
  <c r="J233" i="14"/>
  <c r="J226" i="14"/>
  <c r="J252" i="14"/>
  <c r="L252" i="14"/>
  <c r="M247" i="14" s="1"/>
  <c r="N91" i="14"/>
  <c r="N79" i="14"/>
  <c r="N78" i="14"/>
  <c r="L77" i="14"/>
  <c r="L83" i="14" s="1"/>
  <c r="J56" i="14"/>
  <c r="H56" i="14"/>
  <c r="L197" i="14" s="1"/>
  <c r="L207" i="14"/>
  <c r="N28" i="14"/>
  <c r="D29" i="14"/>
  <c r="F29" i="14"/>
  <c r="N29" i="14" s="1"/>
  <c r="N34" i="14" s="1"/>
  <c r="L189" i="14" s="1"/>
  <c r="L190" i="14" s="1"/>
  <c r="H29" i="14"/>
  <c r="D30" i="14"/>
  <c r="F30" i="14"/>
  <c r="H30" i="14"/>
  <c r="N40" i="14"/>
  <c r="J46" i="14"/>
  <c r="J47" i="14"/>
  <c r="N57" i="14"/>
  <c r="N68" i="14" s="1"/>
  <c r="N69" i="14"/>
  <c r="N70" i="14"/>
  <c r="D59" i="14"/>
  <c r="D72" i="14" s="1"/>
  <c r="F59" i="14"/>
  <c r="F72" i="14" s="1"/>
  <c r="L59" i="14"/>
  <c r="F75" i="14"/>
  <c r="N84" i="14"/>
  <c r="L85" i="14"/>
  <c r="L111" i="14"/>
  <c r="L98" i="14"/>
  <c r="A90" i="14"/>
  <c r="A91" i="14" s="1"/>
  <c r="A98" i="14"/>
  <c r="A99" i="14" s="1"/>
  <c r="A100" i="14" s="1"/>
  <c r="A101" i="14" s="1"/>
  <c r="A102" i="14" s="1"/>
  <c r="A103" i="14" s="1"/>
  <c r="A104" i="14" s="1"/>
  <c r="B115" i="14"/>
  <c r="B182" i="14" s="1"/>
  <c r="B298" i="14" s="1"/>
  <c r="N128" i="14"/>
  <c r="L167" i="14"/>
  <c r="N167" i="14" s="1"/>
  <c r="K168" i="14"/>
  <c r="L187" i="14"/>
  <c r="J269" i="14"/>
  <c r="K202" i="14" s="1"/>
  <c r="L269" i="14"/>
  <c r="L202" i="14" s="1"/>
  <c r="J286" i="14"/>
  <c r="K279" i="14" s="1"/>
  <c r="L286" i="14"/>
  <c r="M277" i="14" s="1"/>
  <c r="K269" i="14"/>
  <c r="M269" i="14"/>
  <c r="N91" i="13"/>
  <c r="N79" i="13"/>
  <c r="J56" i="13"/>
  <c r="J59" i="13" s="1"/>
  <c r="H56" i="13"/>
  <c r="N28" i="13"/>
  <c r="N119" i="13" s="1"/>
  <c r="D29" i="13"/>
  <c r="F29" i="13"/>
  <c r="H29" i="13"/>
  <c r="D30" i="13"/>
  <c r="F30" i="13"/>
  <c r="H30" i="13"/>
  <c r="N40" i="13"/>
  <c r="J46" i="13"/>
  <c r="J47" i="13"/>
  <c r="N57" i="13"/>
  <c r="N68" i="13" s="1"/>
  <c r="N69" i="13"/>
  <c r="N70" i="13"/>
  <c r="D59" i="13"/>
  <c r="D72" i="13" s="1"/>
  <c r="F59" i="13"/>
  <c r="F72" i="13" s="1"/>
  <c r="L59" i="13"/>
  <c r="F75" i="13"/>
  <c r="N84" i="13"/>
  <c r="L85" i="13"/>
  <c r="L111" i="13"/>
  <c r="L98" i="13"/>
  <c r="N144" i="13" s="1"/>
  <c r="A90" i="13"/>
  <c r="A91" i="13" s="1"/>
  <c r="A98" i="13"/>
  <c r="A99" i="13" s="1"/>
  <c r="A100" i="13" s="1"/>
  <c r="A101" i="13" s="1"/>
  <c r="A102" i="13" s="1"/>
  <c r="A103" i="13" s="1"/>
  <c r="A104" i="13" s="1"/>
  <c r="B115" i="13"/>
  <c r="B182" i="13" s="1"/>
  <c r="B281" i="13" s="1"/>
  <c r="N128" i="13"/>
  <c r="L167" i="13"/>
  <c r="N167" i="13" s="1"/>
  <c r="K168" i="13"/>
  <c r="L187" i="13"/>
  <c r="J252" i="13"/>
  <c r="K202" i="13" s="1"/>
  <c r="L252" i="13"/>
  <c r="J269" i="13"/>
  <c r="L269" i="13"/>
  <c r="J235" i="13"/>
  <c r="K222" i="13" s="1"/>
  <c r="L235" i="13"/>
  <c r="M228" i="13" s="1"/>
  <c r="K252" i="13"/>
  <c r="M252" i="13"/>
  <c r="N92" i="12"/>
  <c r="N85" i="12"/>
  <c r="N80" i="12"/>
  <c r="N79" i="12"/>
  <c r="J57" i="12"/>
  <c r="J60" i="12" s="1"/>
  <c r="H57" i="12"/>
  <c r="H29" i="12"/>
  <c r="F29" i="12"/>
  <c r="N28" i="12"/>
  <c r="N42" i="12" s="1"/>
  <c r="D29" i="12"/>
  <c r="D30" i="12"/>
  <c r="F30" i="12"/>
  <c r="H30" i="12"/>
  <c r="N40" i="12"/>
  <c r="J46" i="12"/>
  <c r="J47" i="12"/>
  <c r="N58" i="12"/>
  <c r="N69" i="12" s="1"/>
  <c r="D60" i="12"/>
  <c r="D73" i="12" s="1"/>
  <c r="F60" i="12"/>
  <c r="F73" i="12" s="1"/>
  <c r="L60" i="12"/>
  <c r="N70" i="12"/>
  <c r="N71" i="12"/>
  <c r="F76" i="12"/>
  <c r="L84" i="12"/>
  <c r="L86" i="12"/>
  <c r="L88" i="12" s="1"/>
  <c r="L112" i="12"/>
  <c r="L99" i="12"/>
  <c r="A91" i="12"/>
  <c r="A92" i="12" s="1"/>
  <c r="A99" i="12"/>
  <c r="A100" i="12" s="1"/>
  <c r="A101" i="12" s="1"/>
  <c r="A102" i="12" s="1"/>
  <c r="A103" i="12" s="1"/>
  <c r="A104" i="12" s="1"/>
  <c r="A105" i="12" s="1"/>
  <c r="B116" i="12"/>
  <c r="B183" i="12" s="1"/>
  <c r="B282" i="12" s="1"/>
  <c r="N129" i="12"/>
  <c r="N146" i="12"/>
  <c r="N148" i="12" s="1"/>
  <c r="L168" i="12"/>
  <c r="N168" i="12" s="1"/>
  <c r="K169" i="12"/>
  <c r="L188" i="12"/>
  <c r="J253" i="12"/>
  <c r="K244" i="12" s="1"/>
  <c r="L253" i="12"/>
  <c r="M250" i="12" s="1"/>
  <c r="J270" i="12"/>
  <c r="L270" i="12"/>
  <c r="M267" i="12" s="1"/>
  <c r="L208" i="12"/>
  <c r="J236" i="12"/>
  <c r="K223" i="12" s="1"/>
  <c r="L236" i="12"/>
  <c r="M261" i="12"/>
  <c r="K265" i="12"/>
  <c r="N92" i="11"/>
  <c r="N80" i="11"/>
  <c r="N79" i="11"/>
  <c r="L78" i="11"/>
  <c r="J57" i="11"/>
  <c r="J60" i="11" s="1"/>
  <c r="H57" i="11"/>
  <c r="L208" i="11"/>
  <c r="N28" i="11"/>
  <c r="N42" i="11" s="1"/>
  <c r="D29" i="11"/>
  <c r="F29" i="11"/>
  <c r="H29" i="11"/>
  <c r="D30" i="11"/>
  <c r="F30" i="11"/>
  <c r="H30" i="11"/>
  <c r="N40" i="11"/>
  <c r="J46" i="11"/>
  <c r="J47" i="11"/>
  <c r="N58" i="11"/>
  <c r="N69" i="11" s="1"/>
  <c r="N70" i="11"/>
  <c r="N71" i="11"/>
  <c r="D60" i="11"/>
  <c r="D73" i="11" s="1"/>
  <c r="F60" i="11"/>
  <c r="F73" i="11" s="1"/>
  <c r="L60" i="11"/>
  <c r="F76" i="11"/>
  <c r="L84" i="11"/>
  <c r="N85" i="11"/>
  <c r="L86" i="11"/>
  <c r="L112" i="11"/>
  <c r="L99" i="11"/>
  <c r="A91" i="11"/>
  <c r="A92" i="11" s="1"/>
  <c r="A99" i="11"/>
  <c r="A100" i="11" s="1"/>
  <c r="A101" i="11" s="1"/>
  <c r="A102" i="11" s="1"/>
  <c r="A103" i="11" s="1"/>
  <c r="A104" i="11" s="1"/>
  <c r="A105" i="11" s="1"/>
  <c r="B116" i="11"/>
  <c r="B183" i="11" s="1"/>
  <c r="B282" i="11" s="1"/>
  <c r="N120" i="11"/>
  <c r="N129" i="11"/>
  <c r="N146" i="11"/>
  <c r="N148" i="11" s="1"/>
  <c r="L168" i="11"/>
  <c r="N168" i="11" s="1"/>
  <c r="K169" i="11"/>
  <c r="L188" i="11"/>
  <c r="J253" i="11"/>
  <c r="K248" i="11" s="1"/>
  <c r="L253" i="11"/>
  <c r="J236" i="11"/>
  <c r="K234" i="11" s="1"/>
  <c r="L236" i="11"/>
  <c r="M228" i="11" s="1"/>
  <c r="J270" i="11"/>
  <c r="K268" i="11" s="1"/>
  <c r="L270" i="11"/>
  <c r="M261" i="11" s="1"/>
  <c r="H58" i="10"/>
  <c r="N58" i="10" s="1"/>
  <c r="N69" i="10" s="1"/>
  <c r="N92" i="10"/>
  <c r="N79" i="10"/>
  <c r="N80" i="10"/>
  <c r="N85" i="10"/>
  <c r="L78" i="10"/>
  <c r="L84" i="10" s="1"/>
  <c r="J57" i="10"/>
  <c r="J60" i="10" s="1"/>
  <c r="H57" i="10"/>
  <c r="L208" i="10"/>
  <c r="N28" i="10"/>
  <c r="D29" i="10"/>
  <c r="F29" i="10"/>
  <c r="H29" i="10"/>
  <c r="D30" i="10"/>
  <c r="F30" i="10"/>
  <c r="H30" i="10"/>
  <c r="N40" i="10"/>
  <c r="J46" i="10"/>
  <c r="J47" i="10"/>
  <c r="N70" i="10"/>
  <c r="N71" i="10"/>
  <c r="D60" i="10"/>
  <c r="D73" i="10" s="1"/>
  <c r="F60" i="10"/>
  <c r="F73" i="10" s="1"/>
  <c r="L60" i="10"/>
  <c r="F76" i="10"/>
  <c r="L86" i="10"/>
  <c r="L112" i="10"/>
  <c r="L99" i="10"/>
  <c r="A91" i="10"/>
  <c r="A92" i="10" s="1"/>
  <c r="A99" i="10"/>
  <c r="A100" i="10" s="1"/>
  <c r="A101" i="10" s="1"/>
  <c r="A102" i="10" s="1"/>
  <c r="A103" i="10" s="1"/>
  <c r="A104" i="10" s="1"/>
  <c r="A105" i="10" s="1"/>
  <c r="B116" i="10"/>
  <c r="B183" i="10" s="1"/>
  <c r="B282" i="10" s="1"/>
  <c r="N129" i="10"/>
  <c r="N146" i="10"/>
  <c r="N148" i="10" s="1"/>
  <c r="L168" i="8"/>
  <c r="N168" i="8" s="1"/>
  <c r="L168" i="7"/>
  <c r="N168" i="7" s="1"/>
  <c r="L168" i="6"/>
  <c r="N168" i="6" s="1"/>
  <c r="L168" i="5"/>
  <c r="N168" i="5" s="1"/>
  <c r="L168" i="1"/>
  <c r="L166" i="2" s="1"/>
  <c r="L168" i="10"/>
  <c r="N168" i="10" s="1"/>
  <c r="K169" i="10"/>
  <c r="L188" i="10"/>
  <c r="J253" i="10"/>
  <c r="K240" i="10" s="1"/>
  <c r="L253" i="10"/>
  <c r="J270" i="10"/>
  <c r="L270" i="10"/>
  <c r="L208" i="7"/>
  <c r="L208" i="6"/>
  <c r="L208" i="4"/>
  <c r="L208" i="3"/>
  <c r="L207" i="1"/>
  <c r="L208" i="1" s="1"/>
  <c r="J236" i="10"/>
  <c r="K231" i="10" s="1"/>
  <c r="L236" i="10"/>
  <c r="M226" i="10" s="1"/>
  <c r="K248" i="10"/>
  <c r="K270" i="10"/>
  <c r="M270" i="10"/>
  <c r="H57" i="9"/>
  <c r="N92" i="9"/>
  <c r="N80" i="9"/>
  <c r="J57" i="9"/>
  <c r="N28" i="9"/>
  <c r="N42" i="9" s="1"/>
  <c r="D29" i="9"/>
  <c r="F29" i="9"/>
  <c r="H29" i="9"/>
  <c r="D30" i="9"/>
  <c r="F30" i="9"/>
  <c r="H30" i="9"/>
  <c r="N40" i="9"/>
  <c r="J46" i="9"/>
  <c r="J47" i="9"/>
  <c r="N58" i="9"/>
  <c r="N69" i="9" s="1"/>
  <c r="D60" i="9"/>
  <c r="D73" i="9" s="1"/>
  <c r="F60" i="9"/>
  <c r="F73" i="9" s="1"/>
  <c r="L60" i="9"/>
  <c r="N70" i="9"/>
  <c r="N71" i="9"/>
  <c r="F76" i="9"/>
  <c r="N85" i="9"/>
  <c r="L86" i="9"/>
  <c r="L112" i="9"/>
  <c r="L99" i="9"/>
  <c r="N145" i="9" s="1"/>
  <c r="L208" i="9" s="1"/>
  <c r="A91" i="9"/>
  <c r="A92" i="9" s="1"/>
  <c r="A99" i="9"/>
  <c r="A100" i="9" s="1"/>
  <c r="A101" i="9" s="1"/>
  <c r="A102" i="9" s="1"/>
  <c r="A103" i="9" s="1"/>
  <c r="A104" i="9" s="1"/>
  <c r="A105" i="9" s="1"/>
  <c r="B116" i="9"/>
  <c r="B183" i="9" s="1"/>
  <c r="B282" i="9" s="1"/>
  <c r="N129" i="9"/>
  <c r="L168" i="9"/>
  <c r="N168" i="9" s="1"/>
  <c r="K169" i="9"/>
  <c r="L188" i="9"/>
  <c r="J253" i="9"/>
  <c r="K244" i="9" s="1"/>
  <c r="L253" i="9"/>
  <c r="M239" i="9" s="1"/>
  <c r="J270" i="9"/>
  <c r="L270" i="9"/>
  <c r="M262" i="9" s="1"/>
  <c r="J236" i="9"/>
  <c r="K231" i="9" s="1"/>
  <c r="L236" i="9"/>
  <c r="M228" i="9" s="1"/>
  <c r="L270" i="8"/>
  <c r="M258" i="8" s="1"/>
  <c r="J270" i="8"/>
  <c r="J253" i="8"/>
  <c r="K249" i="8" s="1"/>
  <c r="L253" i="8"/>
  <c r="H57" i="8"/>
  <c r="N92" i="8"/>
  <c r="N80" i="8"/>
  <c r="J57" i="8"/>
  <c r="N28" i="8"/>
  <c r="D29" i="8"/>
  <c r="F29" i="8"/>
  <c r="H29" i="8"/>
  <c r="D30" i="8"/>
  <c r="F30" i="8"/>
  <c r="H30" i="8"/>
  <c r="N40" i="8"/>
  <c r="J46" i="8"/>
  <c r="J47" i="8"/>
  <c r="N58" i="8"/>
  <c r="N69" i="8" s="1"/>
  <c r="N70" i="8"/>
  <c r="N71" i="8"/>
  <c r="D60" i="8"/>
  <c r="D73" i="8" s="1"/>
  <c r="F60" i="8"/>
  <c r="F73" i="8" s="1"/>
  <c r="L60" i="8"/>
  <c r="F76" i="8"/>
  <c r="L84" i="8"/>
  <c r="N85" i="8"/>
  <c r="L86" i="8"/>
  <c r="L112" i="8"/>
  <c r="L99" i="8"/>
  <c r="N145" i="8" s="1"/>
  <c r="L208" i="8" s="1"/>
  <c r="A91" i="8"/>
  <c r="A92" i="8" s="1"/>
  <c r="A99" i="8"/>
  <c r="A100" i="8" s="1"/>
  <c r="A101" i="8" s="1"/>
  <c r="A102" i="8" s="1"/>
  <c r="A103" i="8" s="1"/>
  <c r="A104" i="8" s="1"/>
  <c r="A105" i="8" s="1"/>
  <c r="B116" i="8"/>
  <c r="B183" i="8" s="1"/>
  <c r="B282" i="8" s="1"/>
  <c r="N129" i="8"/>
  <c r="K169" i="8"/>
  <c r="L188" i="8"/>
  <c r="L203" i="8"/>
  <c r="K204" i="8"/>
  <c r="J236" i="8"/>
  <c r="K230" i="8" s="1"/>
  <c r="L236" i="8"/>
  <c r="M225" i="8" s="1"/>
  <c r="H57" i="7"/>
  <c r="L198" i="7" s="1"/>
  <c r="N94" i="7"/>
  <c r="N92" i="7"/>
  <c r="N80" i="7"/>
  <c r="N79" i="7"/>
  <c r="N85" i="7"/>
  <c r="L78" i="7"/>
  <c r="L84" i="7" s="1"/>
  <c r="J57" i="7"/>
  <c r="J60" i="7" s="1"/>
  <c r="N28" i="7"/>
  <c r="N120" i="7" s="1"/>
  <c r="D29" i="7"/>
  <c r="F29" i="7"/>
  <c r="H29" i="7"/>
  <c r="D30" i="7"/>
  <c r="F30" i="7"/>
  <c r="H30" i="7"/>
  <c r="N40" i="7"/>
  <c r="J46" i="7"/>
  <c r="J47" i="7"/>
  <c r="N58" i="7"/>
  <c r="N69" i="7" s="1"/>
  <c r="N70" i="7"/>
  <c r="N71" i="7"/>
  <c r="D60" i="7"/>
  <c r="D73" i="7" s="1"/>
  <c r="F60" i="7"/>
  <c r="F73" i="7" s="1"/>
  <c r="L60" i="7"/>
  <c r="F76" i="7"/>
  <c r="L86" i="7"/>
  <c r="L112" i="7"/>
  <c r="L99" i="7"/>
  <c r="A91" i="7"/>
  <c r="A92" i="7" s="1"/>
  <c r="A99" i="7"/>
  <c r="A100" i="7" s="1"/>
  <c r="A101" i="7" s="1"/>
  <c r="A102" i="7" s="1"/>
  <c r="A103" i="7" s="1"/>
  <c r="A104" i="7" s="1"/>
  <c r="A105" i="7" s="1"/>
  <c r="B116" i="7"/>
  <c r="B183" i="7" s="1"/>
  <c r="B282" i="7" s="1"/>
  <c r="N129" i="7"/>
  <c r="N146" i="7"/>
  <c r="N148" i="7" s="1"/>
  <c r="K169" i="7"/>
  <c r="L188" i="7"/>
  <c r="J253" i="7"/>
  <c r="K203" i="7" s="1"/>
  <c r="L253" i="7"/>
  <c r="L203" i="7" s="1"/>
  <c r="J270" i="7"/>
  <c r="L270" i="7"/>
  <c r="J236" i="7"/>
  <c r="L236" i="7"/>
  <c r="K253" i="7"/>
  <c r="M253" i="7"/>
  <c r="K270" i="7"/>
  <c r="M270" i="7"/>
  <c r="N28" i="6"/>
  <c r="N42" i="6" s="1"/>
  <c r="N28" i="5"/>
  <c r="N28" i="4"/>
  <c r="N28" i="3"/>
  <c r="N42" i="3" s="1"/>
  <c r="N28" i="2"/>
  <c r="N42" i="2" s="1"/>
  <c r="N28" i="1"/>
  <c r="N92" i="6"/>
  <c r="N80" i="6"/>
  <c r="N79" i="6"/>
  <c r="L84" i="6"/>
  <c r="L86" i="6"/>
  <c r="L88" i="6" s="1"/>
  <c r="L112" i="6"/>
  <c r="L99" i="6"/>
  <c r="H57" i="6"/>
  <c r="L198" i="6" s="1"/>
  <c r="J57" i="6"/>
  <c r="D29" i="6"/>
  <c r="F29" i="6"/>
  <c r="H29" i="6"/>
  <c r="D30" i="6"/>
  <c r="F30" i="6"/>
  <c r="H30" i="6"/>
  <c r="N40" i="6"/>
  <c r="J46" i="6"/>
  <c r="J47" i="6"/>
  <c r="N58" i="6"/>
  <c r="N69" i="6" s="1"/>
  <c r="N70" i="6"/>
  <c r="N71" i="6"/>
  <c r="D60" i="6"/>
  <c r="D73" i="6" s="1"/>
  <c r="F60" i="6"/>
  <c r="F73" i="6" s="1"/>
  <c r="H60" i="6"/>
  <c r="L60" i="6"/>
  <c r="F76" i="6"/>
  <c r="N85" i="6"/>
  <c r="A91" i="6"/>
  <c r="A92" i="6" s="1"/>
  <c r="A99" i="6"/>
  <c r="A100" i="6" s="1"/>
  <c r="A101" i="6" s="1"/>
  <c r="A102" i="6" s="1"/>
  <c r="A103" i="6" s="1"/>
  <c r="A104" i="6" s="1"/>
  <c r="A105" i="6" s="1"/>
  <c r="B116" i="6"/>
  <c r="B183" i="6" s="1"/>
  <c r="B282" i="6" s="1"/>
  <c r="N120" i="6"/>
  <c r="N129" i="6"/>
  <c r="N146" i="6"/>
  <c r="N148" i="6" s="1"/>
  <c r="K169" i="6"/>
  <c r="L188" i="6"/>
  <c r="J253" i="6"/>
  <c r="L253" i="6"/>
  <c r="L203" i="6" s="1"/>
  <c r="J270" i="6"/>
  <c r="K204" i="6" s="1"/>
  <c r="L270" i="6"/>
  <c r="J236" i="6"/>
  <c r="K229" i="6" s="1"/>
  <c r="L236" i="6"/>
  <c r="K253" i="6"/>
  <c r="M253" i="6"/>
  <c r="K270" i="6"/>
  <c r="M270" i="6"/>
  <c r="N92" i="5"/>
  <c r="N80" i="5"/>
  <c r="H57" i="5"/>
  <c r="H60" i="5" s="1"/>
  <c r="D29" i="5"/>
  <c r="F29" i="5"/>
  <c r="H29" i="5"/>
  <c r="D30" i="5"/>
  <c r="F30" i="5"/>
  <c r="H30" i="5"/>
  <c r="N40" i="5"/>
  <c r="J46" i="5"/>
  <c r="J47" i="5"/>
  <c r="N58" i="5"/>
  <c r="N69" i="5" s="1"/>
  <c r="N70" i="5"/>
  <c r="N71" i="5"/>
  <c r="D60" i="5"/>
  <c r="D73" i="5" s="1"/>
  <c r="F60" i="5"/>
  <c r="F73" i="5" s="1"/>
  <c r="J60" i="5"/>
  <c r="L60" i="5"/>
  <c r="F76" i="5"/>
  <c r="N85" i="5"/>
  <c r="L86" i="5"/>
  <c r="L112" i="5"/>
  <c r="L99" i="5"/>
  <c r="N145" i="5" s="1"/>
  <c r="L208" i="5" s="1"/>
  <c r="A91" i="5"/>
  <c r="A92" i="5" s="1"/>
  <c r="A99" i="5"/>
  <c r="A100" i="5" s="1"/>
  <c r="A101" i="5" s="1"/>
  <c r="A102" i="5" s="1"/>
  <c r="A103" i="5" s="1"/>
  <c r="A104" i="5" s="1"/>
  <c r="A105" i="5" s="1"/>
  <c r="B116" i="5"/>
  <c r="B183" i="5" s="1"/>
  <c r="B282" i="5" s="1"/>
  <c r="N129" i="5"/>
  <c r="K169" i="5"/>
  <c r="L188" i="5"/>
  <c r="J253" i="5"/>
  <c r="L253" i="5"/>
  <c r="L203" i="5" s="1"/>
  <c r="J270" i="5"/>
  <c r="K204" i="5" s="1"/>
  <c r="L270" i="5"/>
  <c r="L204" i="5" s="1"/>
  <c r="J236" i="5"/>
  <c r="L236" i="5"/>
  <c r="M223" i="5" s="1"/>
  <c r="K253" i="5"/>
  <c r="M253" i="5"/>
  <c r="K270" i="5"/>
  <c r="M270" i="5"/>
  <c r="L270" i="4"/>
  <c r="L236" i="4"/>
  <c r="M230" i="4" s="1"/>
  <c r="L253" i="4"/>
  <c r="L203" i="4" s="1"/>
  <c r="H57" i="4"/>
  <c r="N92" i="4"/>
  <c r="N80" i="4"/>
  <c r="N79" i="4"/>
  <c r="N85" i="4"/>
  <c r="J270" i="4"/>
  <c r="K204" i="4" s="1"/>
  <c r="D29" i="4"/>
  <c r="F29" i="4"/>
  <c r="H29" i="4"/>
  <c r="D30" i="4"/>
  <c r="F30" i="4"/>
  <c r="H30" i="4"/>
  <c r="N40" i="4"/>
  <c r="J46" i="4"/>
  <c r="J47" i="4"/>
  <c r="N58" i="4"/>
  <c r="N69" i="4" s="1"/>
  <c r="D60" i="4"/>
  <c r="D73" i="4" s="1"/>
  <c r="F60" i="4"/>
  <c r="F73" i="4" s="1"/>
  <c r="J60" i="4"/>
  <c r="L60" i="4"/>
  <c r="N70" i="4"/>
  <c r="N71" i="4"/>
  <c r="F76" i="4"/>
  <c r="L84" i="4"/>
  <c r="L86" i="4"/>
  <c r="L112" i="4"/>
  <c r="L99" i="4"/>
  <c r="A91" i="4"/>
  <c r="A92" i="4" s="1"/>
  <c r="A99" i="4"/>
  <c r="A100" i="4" s="1"/>
  <c r="A101" i="4" s="1"/>
  <c r="A102" i="4" s="1"/>
  <c r="A103" i="4" s="1"/>
  <c r="A104" i="4" s="1"/>
  <c r="A105" i="4" s="1"/>
  <c r="B116" i="4"/>
  <c r="B183" i="4" s="1"/>
  <c r="B282" i="4" s="1"/>
  <c r="N129" i="4"/>
  <c r="N146" i="4"/>
  <c r="N148" i="4" s="1"/>
  <c r="N168" i="4"/>
  <c r="K169" i="4"/>
  <c r="L188" i="4"/>
  <c r="J253" i="4"/>
  <c r="J236" i="4"/>
  <c r="K253" i="4"/>
  <c r="M253" i="4"/>
  <c r="K270" i="4"/>
  <c r="M270" i="4"/>
  <c r="N92" i="3"/>
  <c r="N80" i="3"/>
  <c r="N79" i="3"/>
  <c r="H57" i="3"/>
  <c r="N85" i="3"/>
  <c r="D29" i="3"/>
  <c r="F29" i="3"/>
  <c r="H29" i="3"/>
  <c r="D30" i="3"/>
  <c r="F30" i="3"/>
  <c r="H30" i="3"/>
  <c r="N40" i="3"/>
  <c r="J46" i="3"/>
  <c r="J47" i="3"/>
  <c r="N58" i="3"/>
  <c r="N69" i="3" s="1"/>
  <c r="D60" i="3"/>
  <c r="D73" i="3" s="1"/>
  <c r="F60" i="3"/>
  <c r="F73" i="3" s="1"/>
  <c r="J60" i="3"/>
  <c r="L60" i="3"/>
  <c r="N70" i="3"/>
  <c r="N71" i="3"/>
  <c r="F76" i="3"/>
  <c r="L84" i="3"/>
  <c r="L86" i="3"/>
  <c r="A91" i="3"/>
  <c r="A92" i="3" s="1"/>
  <c r="A99" i="3"/>
  <c r="A100" i="3" s="1"/>
  <c r="A101" i="3" s="1"/>
  <c r="A102" i="3" s="1"/>
  <c r="A103" i="3" s="1"/>
  <c r="A104" i="3" s="1"/>
  <c r="A105" i="3" s="1"/>
  <c r="L99" i="3"/>
  <c r="L112" i="3"/>
  <c r="B116" i="3"/>
  <c r="B183" i="3" s="1"/>
  <c r="B282" i="3" s="1"/>
  <c r="N120" i="3"/>
  <c r="N129" i="3"/>
  <c r="N146" i="3"/>
  <c r="N148" i="3" s="1"/>
  <c r="N162" i="3"/>
  <c r="N168" i="3"/>
  <c r="K169" i="3"/>
  <c r="L188" i="3"/>
  <c r="J253" i="3"/>
  <c r="K203" i="3" s="1"/>
  <c r="L253" i="3"/>
  <c r="L203" i="3" s="1"/>
  <c r="J270" i="3"/>
  <c r="K266" i="3" s="1"/>
  <c r="L270" i="3"/>
  <c r="M268" i="3" s="1"/>
  <c r="J236" i="3"/>
  <c r="L236" i="3"/>
  <c r="K253" i="3"/>
  <c r="M253" i="3"/>
  <c r="L86" i="2"/>
  <c r="L111" i="2"/>
  <c r="L98" i="2"/>
  <c r="N144" i="2" s="1"/>
  <c r="L78" i="1"/>
  <c r="L84" i="1" s="1"/>
  <c r="L86" i="1"/>
  <c r="L107" i="1"/>
  <c r="L111" i="1" s="1"/>
  <c r="L98" i="1"/>
  <c r="N128" i="2"/>
  <c r="D29" i="2"/>
  <c r="F29" i="2"/>
  <c r="H29" i="2"/>
  <c r="N91" i="2"/>
  <c r="N80" i="2"/>
  <c r="N58" i="2"/>
  <c r="N69" i="2" s="1"/>
  <c r="H57" i="2"/>
  <c r="N57" i="2" s="1"/>
  <c r="N58" i="1"/>
  <c r="N69" i="1" s="1"/>
  <c r="J46" i="2"/>
  <c r="F60" i="2"/>
  <c r="N85" i="2"/>
  <c r="D30" i="2"/>
  <c r="F30" i="2"/>
  <c r="H30" i="2"/>
  <c r="N40" i="2"/>
  <c r="J47" i="2"/>
  <c r="D60" i="2"/>
  <c r="D73" i="2" s="1"/>
  <c r="J60" i="2"/>
  <c r="L60" i="2"/>
  <c r="N70" i="2"/>
  <c r="N71" i="2"/>
  <c r="F76" i="2"/>
  <c r="A90" i="2"/>
  <c r="A91" i="2" s="1"/>
  <c r="A98" i="2"/>
  <c r="A99" i="2" s="1"/>
  <c r="A100" i="2" s="1"/>
  <c r="A101" i="2" s="1"/>
  <c r="A102" i="2" s="1"/>
  <c r="A103" i="2" s="1"/>
  <c r="A104" i="2" s="1"/>
  <c r="B115" i="2"/>
  <c r="B182" i="2" s="1"/>
  <c r="B281" i="2" s="1"/>
  <c r="N161" i="2"/>
  <c r="N167" i="2"/>
  <c r="K168" i="2"/>
  <c r="L187" i="2"/>
  <c r="J252" i="2"/>
  <c r="K202" i="2" s="1"/>
  <c r="L252" i="2"/>
  <c r="J269" i="2"/>
  <c r="L269" i="2"/>
  <c r="J235" i="2"/>
  <c r="L235" i="2"/>
  <c r="M228" i="2" s="1"/>
  <c r="K252" i="2"/>
  <c r="M252" i="2"/>
  <c r="M260" i="2"/>
  <c r="L269" i="1"/>
  <c r="J269" i="1"/>
  <c r="H57" i="1"/>
  <c r="L252" i="1"/>
  <c r="L202" i="1" s="1"/>
  <c r="J252" i="1"/>
  <c r="K202" i="1" s="1"/>
  <c r="N79" i="1"/>
  <c r="N80" i="1"/>
  <c r="N85" i="1"/>
  <c r="N91" i="1"/>
  <c r="H29" i="1"/>
  <c r="F30" i="1"/>
  <c r="F29" i="1"/>
  <c r="D29" i="1"/>
  <c r="L235" i="1"/>
  <c r="M231" i="1" s="1"/>
  <c r="J235" i="1"/>
  <c r="N158" i="1"/>
  <c r="N161" i="1" s="1"/>
  <c r="D60" i="1"/>
  <c r="D73" i="1" s="1"/>
  <c r="D30" i="1"/>
  <c r="H30" i="1"/>
  <c r="N40" i="1"/>
  <c r="A98" i="1"/>
  <c r="A99" i="1" s="1"/>
  <c r="A100" i="1" s="1"/>
  <c r="A101" i="1" s="1"/>
  <c r="A102" i="1" s="1"/>
  <c r="A103" i="1" s="1"/>
  <c r="A104" i="1" s="1"/>
  <c r="N71" i="1"/>
  <c r="F76" i="1"/>
  <c r="F60" i="1"/>
  <c r="F73" i="1" s="1"/>
  <c r="K252" i="1"/>
  <c r="M252" i="1"/>
  <c r="N70" i="1"/>
  <c r="A90" i="1"/>
  <c r="A91" i="1" s="1"/>
  <c r="J47" i="1"/>
  <c r="N166" i="1"/>
  <c r="J60" i="1"/>
  <c r="L60" i="1"/>
  <c r="B115" i="1"/>
  <c r="B182" i="1" s="1"/>
  <c r="B280" i="1" s="1"/>
  <c r="N145" i="1"/>
  <c r="N147" i="1" s="1"/>
  <c r="L187" i="1"/>
  <c r="K168" i="1"/>
  <c r="N168" i="1" s="1"/>
  <c r="N167" i="1"/>
  <c r="M232" i="5"/>
  <c r="L272" i="11"/>
  <c r="M226" i="11"/>
  <c r="M284" i="16"/>
  <c r="M283" i="16"/>
  <c r="M280" i="16"/>
  <c r="M276" i="16"/>
  <c r="M275" i="16"/>
  <c r="M272" i="16"/>
  <c r="M244" i="16"/>
  <c r="K203" i="16"/>
  <c r="M242" i="8"/>
  <c r="M248" i="15"/>
  <c r="K284" i="16"/>
  <c r="K283" i="16"/>
  <c r="K282" i="16"/>
  <c r="K281" i="16"/>
  <c r="K280" i="16"/>
  <c r="K279" i="16"/>
  <c r="K278" i="16"/>
  <c r="K277" i="16"/>
  <c r="K276" i="16"/>
  <c r="K275" i="16"/>
  <c r="K274" i="16"/>
  <c r="K273" i="16"/>
  <c r="L87" i="17"/>
  <c r="K223" i="5"/>
  <c r="M251" i="8"/>
  <c r="M249" i="8"/>
  <c r="M245" i="8"/>
  <c r="M243" i="8"/>
  <c r="M227" i="11"/>
  <c r="K282" i="17"/>
  <c r="K274" i="17"/>
  <c r="K273" i="17"/>
  <c r="K249" i="17"/>
  <c r="K247" i="17"/>
  <c r="K245" i="17"/>
  <c r="K243" i="17"/>
  <c r="K241" i="17"/>
  <c r="K239" i="17"/>
  <c r="M284" i="17"/>
  <c r="M248" i="17"/>
  <c r="M247" i="17"/>
  <c r="M244" i="17"/>
  <c r="M243" i="17"/>
  <c r="M240" i="17"/>
  <c r="M239" i="17"/>
  <c r="L203" i="13"/>
  <c r="M256" i="13"/>
  <c r="M258" i="13"/>
  <c r="M260" i="13"/>
  <c r="M262" i="13"/>
  <c r="M264" i="13"/>
  <c r="M266" i="13"/>
  <c r="M257" i="13"/>
  <c r="M265" i="13"/>
  <c r="M259" i="13"/>
  <c r="M267" i="13"/>
  <c r="M255" i="13"/>
  <c r="M261" i="13"/>
  <c r="M263" i="13"/>
  <c r="L203" i="2"/>
  <c r="M261" i="2"/>
  <c r="M267" i="2"/>
  <c r="L197" i="2"/>
  <c r="M230" i="8"/>
  <c r="M227" i="12"/>
  <c r="M222" i="12"/>
  <c r="M230" i="12"/>
  <c r="M228" i="12"/>
  <c r="M233" i="12"/>
  <c r="M232" i="12"/>
  <c r="M222" i="5"/>
  <c r="J272" i="3"/>
  <c r="M256" i="8"/>
  <c r="M229" i="9"/>
  <c r="M256" i="9"/>
  <c r="M264" i="9"/>
  <c r="M259" i="9"/>
  <c r="M250" i="9"/>
  <c r="M223" i="1"/>
  <c r="M226" i="2"/>
  <c r="K266" i="2"/>
  <c r="K230" i="3"/>
  <c r="K222" i="7"/>
  <c r="K272" i="16"/>
  <c r="J288" i="16"/>
  <c r="M265" i="3"/>
  <c r="M239" i="10"/>
  <c r="M243" i="10"/>
  <c r="M243" i="11"/>
  <c r="M247" i="11"/>
  <c r="M258" i="12"/>
  <c r="M260" i="12"/>
  <c r="M262" i="12"/>
  <c r="M266" i="12"/>
  <c r="M268" i="12"/>
  <c r="N56" i="17"/>
  <c r="M274" i="18"/>
  <c r="M276" i="18"/>
  <c r="M282" i="18"/>
  <c r="M284" i="18"/>
  <c r="M281" i="18"/>
  <c r="M283" i="18"/>
  <c r="K228" i="11"/>
  <c r="N84" i="12"/>
  <c r="K272" i="14"/>
  <c r="K274" i="14"/>
  <c r="H59" i="14"/>
  <c r="K239" i="15"/>
  <c r="K242" i="15"/>
  <c r="K250" i="15"/>
  <c r="N145" i="15"/>
  <c r="N147" i="15" s="1"/>
  <c r="K202" i="18"/>
  <c r="K283" i="18"/>
  <c r="K281" i="18"/>
  <c r="K279" i="18"/>
  <c r="K277" i="18"/>
  <c r="K275" i="18"/>
  <c r="M249" i="18"/>
  <c r="N42" i="10"/>
  <c r="N120" i="10"/>
  <c r="M225" i="5"/>
  <c r="M233" i="5"/>
  <c r="M234" i="8"/>
  <c r="M232" i="8"/>
  <c r="M223" i="8"/>
  <c r="N42" i="7"/>
  <c r="K203" i="14"/>
  <c r="K273" i="14"/>
  <c r="K283" i="14"/>
  <c r="K278" i="14"/>
  <c r="L204" i="7"/>
  <c r="K227" i="11"/>
  <c r="M232" i="9"/>
  <c r="K262" i="1"/>
  <c r="K259" i="1"/>
  <c r="M259" i="2"/>
  <c r="M255" i="2"/>
  <c r="M231" i="6"/>
  <c r="K258" i="8"/>
  <c r="K259" i="8"/>
  <c r="M259" i="1"/>
  <c r="L204" i="9"/>
  <c r="M240" i="10"/>
  <c r="M234" i="11"/>
  <c r="M250" i="10"/>
  <c r="N56" i="14"/>
  <c r="J59" i="14"/>
  <c r="K280" i="15"/>
  <c r="K283" i="15"/>
  <c r="K281" i="15"/>
  <c r="K284" i="15"/>
  <c r="M265" i="12"/>
  <c r="L204" i="12"/>
  <c r="M257" i="12"/>
  <c r="M244" i="12"/>
  <c r="K255" i="13"/>
  <c r="K258" i="13"/>
  <c r="K266" i="13"/>
  <c r="K256" i="13"/>
  <c r="K259" i="13"/>
  <c r="K267" i="13"/>
  <c r="H59" i="15"/>
  <c r="M248" i="18"/>
  <c r="M238" i="19"/>
  <c r="M240" i="19"/>
  <c r="M246" i="19"/>
  <c r="M248" i="19"/>
  <c r="M241" i="19"/>
  <c r="M243" i="19"/>
  <c r="M249" i="19"/>
  <c r="N145" i="16"/>
  <c r="N147" i="16" s="1"/>
  <c r="M279" i="19"/>
  <c r="M276" i="19"/>
  <c r="K278" i="19"/>
  <c r="K243" i="19"/>
  <c r="K276" i="18"/>
  <c r="K284" i="18"/>
  <c r="K272" i="18"/>
  <c r="K280" i="18"/>
  <c r="K281" i="19"/>
  <c r="N146" i="5"/>
  <c r="N148" i="5" s="1"/>
  <c r="M263" i="1"/>
  <c r="M228" i="6"/>
  <c r="K229" i="10"/>
  <c r="K227" i="10"/>
  <c r="L207" i="13"/>
  <c r="N145" i="13"/>
  <c r="M233" i="11"/>
  <c r="K261" i="12"/>
  <c r="K259" i="12"/>
  <c r="K257" i="12"/>
  <c r="K256" i="12"/>
  <c r="J271" i="13"/>
  <c r="K260" i="13"/>
  <c r="N42" i="13"/>
  <c r="K249" i="19"/>
  <c r="K245" i="19"/>
  <c r="N167" i="20"/>
  <c r="M275" i="20"/>
  <c r="K274" i="20"/>
  <c r="M279" i="20"/>
  <c r="K272" i="20"/>
  <c r="M277" i="20"/>
  <c r="M281" i="20"/>
  <c r="K273" i="20"/>
  <c r="M272" i="20"/>
  <c r="M273" i="20"/>
  <c r="M274" i="20"/>
  <c r="M276" i="20"/>
  <c r="M278" i="20"/>
  <c r="M280" i="20"/>
  <c r="M282" i="20"/>
  <c r="M284" i="20"/>
  <c r="K275" i="20"/>
  <c r="K276" i="20"/>
  <c r="K277" i="20"/>
  <c r="K278" i="20"/>
  <c r="K279" i="20"/>
  <c r="K280" i="20"/>
  <c r="K281" i="20"/>
  <c r="K282" i="20"/>
  <c r="K283" i="20"/>
  <c r="K284" i="20"/>
  <c r="N41" i="21"/>
  <c r="H59" i="21"/>
  <c r="N167" i="21"/>
  <c r="J235" i="21"/>
  <c r="K222" i="21" s="1"/>
  <c r="M279" i="21"/>
  <c r="M277" i="21"/>
  <c r="M274" i="21"/>
  <c r="M278" i="21"/>
  <c r="K275" i="21"/>
  <c r="K279" i="21"/>
  <c r="K283" i="21"/>
  <c r="K229" i="21"/>
  <c r="K223" i="21"/>
  <c r="M243" i="21"/>
  <c r="M249" i="21"/>
  <c r="J235" i="22"/>
  <c r="K225" i="22" s="1"/>
  <c r="J288" i="22"/>
  <c r="M278" i="22"/>
  <c r="M282" i="22"/>
  <c r="M277" i="22"/>
  <c r="M279" i="22"/>
  <c r="M281" i="22"/>
  <c r="M283" i="22"/>
  <c r="K277" i="22"/>
  <c r="K278" i="22"/>
  <c r="K280" i="22"/>
  <c r="K281" i="22"/>
  <c r="K282" i="22"/>
  <c r="K284" i="22"/>
  <c r="N119" i="23"/>
  <c r="M246" i="23"/>
  <c r="M249" i="23"/>
  <c r="M281" i="23"/>
  <c r="M282" i="23"/>
  <c r="M283" i="23"/>
  <c r="L203" i="23"/>
  <c r="K203" i="23"/>
  <c r="M275" i="23"/>
  <c r="M273" i="23"/>
  <c r="M277" i="23"/>
  <c r="M272" i="23"/>
  <c r="M274" i="23"/>
  <c r="M276" i="23"/>
  <c r="K272" i="23"/>
  <c r="K273" i="23"/>
  <c r="K281" i="23"/>
  <c r="K283" i="23"/>
  <c r="K274" i="23"/>
  <c r="K275" i="23"/>
  <c r="K276" i="23"/>
  <c r="K277" i="23"/>
  <c r="K278" i="23"/>
  <c r="K279" i="23"/>
  <c r="K280" i="23"/>
  <c r="K282" i="23"/>
  <c r="M242" i="23"/>
  <c r="M239" i="23"/>
  <c r="M245" i="23"/>
  <c r="K238" i="23"/>
  <c r="J235" i="23"/>
  <c r="K224" i="23" s="1"/>
  <c r="K248" i="23"/>
  <c r="K226" i="23"/>
  <c r="M276" i="24"/>
  <c r="K281" i="24"/>
  <c r="K273" i="24"/>
  <c r="M278" i="24"/>
  <c r="K283" i="24"/>
  <c r="K279" i="24"/>
  <c r="K275" i="24"/>
  <c r="M281" i="24"/>
  <c r="M277" i="24"/>
  <c r="K284" i="24"/>
  <c r="K282" i="24"/>
  <c r="K280" i="24"/>
  <c r="K278" i="24"/>
  <c r="K276" i="24"/>
  <c r="K274" i="24"/>
  <c r="M250" i="24"/>
  <c r="M249" i="24"/>
  <c r="M244" i="24"/>
  <c r="M245" i="24"/>
  <c r="M243" i="24"/>
  <c r="M240" i="24"/>
  <c r="L235" i="24"/>
  <c r="M230" i="24" s="1"/>
  <c r="M239" i="24"/>
  <c r="F72" i="24"/>
  <c r="N42" i="25"/>
  <c r="N167" i="25"/>
  <c r="L197" i="25"/>
  <c r="N56" i="25"/>
  <c r="N59" i="25" s="1"/>
  <c r="N72" i="25" s="1"/>
  <c r="N153" i="25" s="1"/>
  <c r="J288" i="25"/>
  <c r="M281" i="25"/>
  <c r="K272" i="25"/>
  <c r="K273" i="25"/>
  <c r="M276" i="25"/>
  <c r="K274" i="25"/>
  <c r="K275" i="25"/>
  <c r="K276" i="25"/>
  <c r="K277" i="25"/>
  <c r="K278" i="25"/>
  <c r="K279" i="25"/>
  <c r="K280" i="25"/>
  <c r="K281" i="25"/>
  <c r="K282" i="25"/>
  <c r="K283" i="25"/>
  <c r="K284" i="25"/>
  <c r="N41" i="25"/>
  <c r="N42" i="26"/>
  <c r="L197" i="26"/>
  <c r="N56" i="26"/>
  <c r="N152" i="26" s="1"/>
  <c r="J288" i="26"/>
  <c r="M274" i="26"/>
  <c r="M272" i="26"/>
  <c r="M276" i="26"/>
  <c r="M273" i="26"/>
  <c r="M275" i="26"/>
  <c r="M282" i="26"/>
  <c r="K273" i="26"/>
  <c r="K274" i="26"/>
  <c r="K275" i="26"/>
  <c r="K276" i="26"/>
  <c r="K277" i="26"/>
  <c r="K279" i="26"/>
  <c r="K281" i="26"/>
  <c r="M277" i="26"/>
  <c r="M278" i="26"/>
  <c r="M279" i="26"/>
  <c r="M280" i="26"/>
  <c r="M281" i="26"/>
  <c r="M283" i="26"/>
  <c r="K282" i="26"/>
  <c r="K283" i="26"/>
  <c r="K284" i="26"/>
  <c r="N147" i="26"/>
  <c r="N167" i="26"/>
  <c r="N59" i="26"/>
  <c r="N72" i="26" s="1"/>
  <c r="N153" i="26" s="1"/>
  <c r="F72" i="26"/>
  <c r="N42" i="27"/>
  <c r="N167" i="27"/>
  <c r="L197" i="27"/>
  <c r="N56" i="27"/>
  <c r="N152" i="27" s="1"/>
  <c r="K203" i="27"/>
  <c r="N30" i="27"/>
  <c r="K230" i="20" l="1"/>
  <c r="K227" i="20"/>
  <c r="M228" i="27"/>
  <c r="K239" i="14"/>
  <c r="K244" i="14"/>
  <c r="K247" i="14"/>
  <c r="M250" i="21"/>
  <c r="M240" i="21"/>
  <c r="M252" i="21" s="1"/>
  <c r="M244" i="21"/>
  <c r="M248" i="21"/>
  <c r="M247" i="21"/>
  <c r="M242" i="21"/>
  <c r="M284" i="19"/>
  <c r="M274" i="19"/>
  <c r="M275" i="19"/>
  <c r="M231" i="9"/>
  <c r="M282" i="15"/>
  <c r="M246" i="9"/>
  <c r="L272" i="9"/>
  <c r="M227" i="9"/>
  <c r="M240" i="15"/>
  <c r="M249" i="15"/>
  <c r="K261" i="1"/>
  <c r="K255" i="1"/>
  <c r="M262" i="2"/>
  <c r="M257" i="2"/>
  <c r="M265" i="2"/>
  <c r="M263" i="2"/>
  <c r="M248" i="11"/>
  <c r="L203" i="11"/>
  <c r="M245" i="11"/>
  <c r="K249" i="15"/>
  <c r="K243" i="15"/>
  <c r="K246" i="15"/>
  <c r="J288" i="15"/>
  <c r="K277" i="15"/>
  <c r="K275" i="15"/>
  <c r="N41" i="15"/>
  <c r="H59" i="17"/>
  <c r="L197" i="17"/>
  <c r="M243" i="18"/>
  <c r="M250" i="18"/>
  <c r="N119" i="20"/>
  <c r="N42" i="20"/>
  <c r="M246" i="21"/>
  <c r="M241" i="21"/>
  <c r="K272" i="19"/>
  <c r="M282" i="19"/>
  <c r="M286" i="19" s="1"/>
  <c r="M283" i="19"/>
  <c r="K278" i="15"/>
  <c r="K274" i="15"/>
  <c r="K273" i="15"/>
  <c r="K203" i="1"/>
  <c r="K258" i="1"/>
  <c r="K276" i="14"/>
  <c r="M221" i="1"/>
  <c r="M223" i="9"/>
  <c r="M225" i="4"/>
  <c r="N119" i="2"/>
  <c r="K248" i="18"/>
  <c r="M274" i="15"/>
  <c r="K238" i="15"/>
  <c r="L288" i="18"/>
  <c r="M251" i="11"/>
  <c r="M241" i="11"/>
  <c r="M247" i="9"/>
  <c r="M244" i="9"/>
  <c r="M266" i="2"/>
  <c r="K278" i="17"/>
  <c r="M241" i="15"/>
  <c r="K262" i="13"/>
  <c r="K263" i="13"/>
  <c r="K264" i="13"/>
  <c r="M230" i="9"/>
  <c r="M222" i="9"/>
  <c r="M226" i="9"/>
  <c r="M236" i="9" s="1"/>
  <c r="M225" i="9"/>
  <c r="M240" i="9"/>
  <c r="M248" i="9"/>
  <c r="L203" i="19"/>
  <c r="M277" i="19"/>
  <c r="M272" i="19"/>
  <c r="M280" i="19"/>
  <c r="M226" i="22"/>
  <c r="M225" i="22"/>
  <c r="L87" i="2"/>
  <c r="K277" i="14"/>
  <c r="K282" i="14"/>
  <c r="K275" i="14"/>
  <c r="J288" i="14"/>
  <c r="K284" i="14"/>
  <c r="N119" i="22"/>
  <c r="M245" i="21"/>
  <c r="M239" i="21"/>
  <c r="N119" i="21"/>
  <c r="K247" i="12"/>
  <c r="N146" i="9"/>
  <c r="N148" i="9" s="1"/>
  <c r="M278" i="19"/>
  <c r="M281" i="19"/>
  <c r="K272" i="15"/>
  <c r="K279" i="15"/>
  <c r="M256" i="2"/>
  <c r="K263" i="1"/>
  <c r="K266" i="1"/>
  <c r="M234" i="9"/>
  <c r="K281" i="14"/>
  <c r="M233" i="9"/>
  <c r="M232" i="4"/>
  <c r="M241" i="18"/>
  <c r="M272" i="15"/>
  <c r="K247" i="15"/>
  <c r="K280" i="14"/>
  <c r="K286" i="14" s="1"/>
  <c r="M249" i="11"/>
  <c r="M239" i="11"/>
  <c r="N120" i="9"/>
  <c r="M241" i="9"/>
  <c r="M245" i="9"/>
  <c r="M242" i="9"/>
  <c r="M224" i="9"/>
  <c r="M258" i="2"/>
  <c r="M269" i="2" s="1"/>
  <c r="K281" i="17"/>
  <c r="M245" i="15"/>
  <c r="N29" i="1"/>
  <c r="M264" i="2"/>
  <c r="H60" i="7"/>
  <c r="M244" i="8"/>
  <c r="M247" i="8"/>
  <c r="M240" i="8"/>
  <c r="H60" i="12"/>
  <c r="L198" i="12"/>
  <c r="K250" i="14"/>
  <c r="L197" i="21"/>
  <c r="N56" i="21"/>
  <c r="N152" i="21" s="1"/>
  <c r="K276" i="22"/>
  <c r="K279" i="22"/>
  <c r="K283" i="22"/>
  <c r="M280" i="23"/>
  <c r="M284" i="23"/>
  <c r="L235" i="27"/>
  <c r="N147" i="13"/>
  <c r="M263" i="12"/>
  <c r="M259" i="12"/>
  <c r="K247" i="11"/>
  <c r="M264" i="12"/>
  <c r="M270" i="12" s="1"/>
  <c r="M256" i="12"/>
  <c r="K204" i="11"/>
  <c r="N41" i="8"/>
  <c r="N29" i="8"/>
  <c r="N34" i="8" s="1"/>
  <c r="L190" i="8" s="1"/>
  <c r="L191" i="8" s="1"/>
  <c r="N84" i="8"/>
  <c r="N84" i="9"/>
  <c r="N88" i="9" s="1"/>
  <c r="N29" i="18"/>
  <c r="N34" i="18" s="1"/>
  <c r="L189" i="18" s="1"/>
  <c r="L190" i="18" s="1"/>
  <c r="M221" i="21"/>
  <c r="M233" i="2"/>
  <c r="M233" i="6"/>
  <c r="M230" i="6"/>
  <c r="M234" i="6"/>
  <c r="K231" i="7"/>
  <c r="K229" i="7"/>
  <c r="K223" i="7"/>
  <c r="K243" i="11"/>
  <c r="L197" i="24"/>
  <c r="H59" i="24"/>
  <c r="M284" i="25"/>
  <c r="M274" i="25"/>
  <c r="K249" i="23"/>
  <c r="M227" i="21"/>
  <c r="K282" i="21"/>
  <c r="K278" i="21"/>
  <c r="K274" i="21"/>
  <c r="J288" i="21"/>
  <c r="K240" i="19"/>
  <c r="M232" i="2"/>
  <c r="K226" i="6"/>
  <c r="K232" i="6"/>
  <c r="K222" i="6"/>
  <c r="K228" i="6"/>
  <c r="N42" i="5"/>
  <c r="N120" i="5"/>
  <c r="K263" i="8"/>
  <c r="K261" i="8"/>
  <c r="K262" i="8"/>
  <c r="K260" i="8"/>
  <c r="K265" i="8"/>
  <c r="K266" i="8"/>
  <c r="K268" i="8"/>
  <c r="L235" i="19"/>
  <c r="M250" i="23"/>
  <c r="M244" i="23"/>
  <c r="M280" i="25"/>
  <c r="K250" i="24"/>
  <c r="M243" i="23"/>
  <c r="M238" i="23"/>
  <c r="M248" i="23"/>
  <c r="M227" i="22"/>
  <c r="H59" i="22"/>
  <c r="K281" i="21"/>
  <c r="K277" i="21"/>
  <c r="K273" i="21"/>
  <c r="M228" i="21"/>
  <c r="L203" i="21"/>
  <c r="K225" i="20"/>
  <c r="K239" i="19"/>
  <c r="N146" i="8"/>
  <c r="N148" i="8" s="1"/>
  <c r="L197" i="19"/>
  <c r="M230" i="11"/>
  <c r="K256" i="8"/>
  <c r="K233" i="6"/>
  <c r="K232" i="7"/>
  <c r="M224" i="3"/>
  <c r="M230" i="3"/>
  <c r="L198" i="9"/>
  <c r="H60" i="9"/>
  <c r="N41" i="10"/>
  <c r="N57" i="12"/>
  <c r="N153" i="12" s="1"/>
  <c r="N30" i="12"/>
  <c r="N29" i="13"/>
  <c r="N34" i="13" s="1"/>
  <c r="L189" i="13" s="1"/>
  <c r="L190" i="13" s="1"/>
  <c r="N30" i="14"/>
  <c r="N41" i="14"/>
  <c r="K283" i="17"/>
  <c r="K280" i="17"/>
  <c r="K276" i="17"/>
  <c r="K272" i="17"/>
  <c r="K284" i="17"/>
  <c r="K279" i="17"/>
  <c r="K275" i="17"/>
  <c r="M240" i="18"/>
  <c r="M247" i="18"/>
  <c r="M238" i="18"/>
  <c r="M246" i="18"/>
  <c r="M245" i="18"/>
  <c r="M242" i="18"/>
  <c r="M239" i="18"/>
  <c r="J235" i="19"/>
  <c r="K203" i="21"/>
  <c r="M227" i="2"/>
  <c r="M222" i="2"/>
  <c r="M229" i="2"/>
  <c r="M224" i="2"/>
  <c r="M230" i="2"/>
  <c r="M231" i="2"/>
  <c r="K246" i="11"/>
  <c r="K249" i="11"/>
  <c r="K250" i="11"/>
  <c r="K251" i="11"/>
  <c r="K240" i="11"/>
  <c r="K241" i="11"/>
  <c r="K239" i="11"/>
  <c r="K243" i="12"/>
  <c r="K250" i="12"/>
  <c r="K242" i="12"/>
  <c r="K250" i="19"/>
  <c r="K246" i="19"/>
  <c r="K248" i="19"/>
  <c r="M282" i="25"/>
  <c r="M279" i="25"/>
  <c r="K246" i="24"/>
  <c r="K238" i="19"/>
  <c r="K239" i="12"/>
  <c r="M232" i="6"/>
  <c r="K247" i="19"/>
  <c r="K244" i="11"/>
  <c r="K228" i="1"/>
  <c r="K226" i="1"/>
  <c r="K230" i="2"/>
  <c r="K223" i="2"/>
  <c r="K222" i="5"/>
  <c r="K227" i="5"/>
  <c r="K232" i="5"/>
  <c r="K225" i="5"/>
  <c r="K233" i="5"/>
  <c r="K226" i="5"/>
  <c r="K203" i="5"/>
  <c r="J272" i="5"/>
  <c r="M225" i="11"/>
  <c r="M231" i="11"/>
  <c r="M224" i="11"/>
  <c r="M229" i="11"/>
  <c r="K249" i="12"/>
  <c r="M228" i="26"/>
  <c r="M278" i="25"/>
  <c r="L288" i="25"/>
  <c r="K242" i="23"/>
  <c r="M241" i="23"/>
  <c r="M240" i="23"/>
  <c r="M252" i="23" s="1"/>
  <c r="M247" i="23"/>
  <c r="N56" i="22"/>
  <c r="N152" i="22" s="1"/>
  <c r="K284" i="21"/>
  <c r="K280" i="21"/>
  <c r="K276" i="21"/>
  <c r="M282" i="21"/>
  <c r="K242" i="19"/>
  <c r="K244" i="19"/>
  <c r="K246" i="12"/>
  <c r="K234" i="6"/>
  <c r="K242" i="11"/>
  <c r="K267" i="8"/>
  <c r="K257" i="8"/>
  <c r="N57" i="5"/>
  <c r="N153" i="5" s="1"/>
  <c r="K234" i="7"/>
  <c r="M223" i="2"/>
  <c r="K229" i="2"/>
  <c r="H60" i="2"/>
  <c r="M223" i="11"/>
  <c r="M225" i="2"/>
  <c r="K231" i="3"/>
  <c r="K222" i="3"/>
  <c r="M257" i="9"/>
  <c r="M265" i="9"/>
  <c r="M258" i="9"/>
  <c r="M266" i="9"/>
  <c r="M267" i="9"/>
  <c r="M263" i="9"/>
  <c r="M260" i="9"/>
  <c r="M268" i="9"/>
  <c r="M261" i="9"/>
  <c r="K225" i="10"/>
  <c r="K226" i="10"/>
  <c r="K233" i="10"/>
  <c r="K224" i="10"/>
  <c r="M247" i="10"/>
  <c r="M248" i="10"/>
  <c r="M251" i="10"/>
  <c r="K260" i="11"/>
  <c r="K263" i="11"/>
  <c r="N83" i="13"/>
  <c r="N87" i="13" s="1"/>
  <c r="N177" i="13" s="1"/>
  <c r="K238" i="14"/>
  <c r="K240" i="14"/>
  <c r="K242" i="14"/>
  <c r="K248" i="14"/>
  <c r="M247" i="15"/>
  <c r="M243" i="15"/>
  <c r="M239" i="15"/>
  <c r="M246" i="15"/>
  <c r="M242" i="15"/>
  <c r="M279" i="15"/>
  <c r="M276" i="15"/>
  <c r="M284" i="15"/>
  <c r="M278" i="15"/>
  <c r="L203" i="16"/>
  <c r="M282" i="16"/>
  <c r="M278" i="16"/>
  <c r="M274" i="16"/>
  <c r="M281" i="16"/>
  <c r="M277" i="16"/>
  <c r="M273" i="16"/>
  <c r="M238" i="17"/>
  <c r="M250" i="17"/>
  <c r="M246" i="17"/>
  <c r="M242" i="17"/>
  <c r="M249" i="17"/>
  <c r="M245" i="17"/>
  <c r="M241" i="17"/>
  <c r="L203" i="18"/>
  <c r="M278" i="18"/>
  <c r="M273" i="18"/>
  <c r="M275" i="18"/>
  <c r="M272" i="18"/>
  <c r="M280" i="18"/>
  <c r="M277" i="18"/>
  <c r="M279" i="18"/>
  <c r="N42" i="18"/>
  <c r="N119" i="18"/>
  <c r="M242" i="19"/>
  <c r="M250" i="19"/>
  <c r="M245" i="19"/>
  <c r="M244" i="19"/>
  <c r="M239" i="19"/>
  <c r="M247" i="19"/>
  <c r="N84" i="2"/>
  <c r="N84" i="5"/>
  <c r="N83" i="23"/>
  <c r="N87" i="23" s="1"/>
  <c r="L191" i="23" s="1"/>
  <c r="N83" i="15"/>
  <c r="N87" i="15" s="1"/>
  <c r="N30" i="17"/>
  <c r="N41" i="18"/>
  <c r="N83" i="18"/>
  <c r="L235" i="20"/>
  <c r="M231" i="20" s="1"/>
  <c r="N83" i="21"/>
  <c r="N87" i="21" s="1"/>
  <c r="N152" i="25"/>
  <c r="L112" i="2"/>
  <c r="N29" i="10"/>
  <c r="N34" i="10" s="1"/>
  <c r="L190" i="10" s="1"/>
  <c r="L191" i="10" s="1"/>
  <c r="L235" i="23"/>
  <c r="J235" i="24"/>
  <c r="K221" i="24" s="1"/>
  <c r="N41" i="9"/>
  <c r="N41" i="16"/>
  <c r="J235" i="17"/>
  <c r="L87" i="16"/>
  <c r="L112" i="16" s="1"/>
  <c r="N87" i="18"/>
  <c r="L191" i="18" s="1"/>
  <c r="M232" i="23"/>
  <c r="M229" i="23"/>
  <c r="K222" i="24"/>
  <c r="M225" i="10"/>
  <c r="M233" i="10"/>
  <c r="M234" i="10"/>
  <c r="M228" i="10"/>
  <c r="M230" i="10"/>
  <c r="M227" i="10"/>
  <c r="M224" i="10"/>
  <c r="M223" i="10"/>
  <c r="M229" i="10"/>
  <c r="M232" i="10"/>
  <c r="L198" i="10"/>
  <c r="N57" i="10"/>
  <c r="H60" i="10"/>
  <c r="M258" i="11"/>
  <c r="L204" i="11"/>
  <c r="M267" i="11"/>
  <c r="M259" i="11"/>
  <c r="M262" i="11"/>
  <c r="M265" i="11"/>
  <c r="M257" i="11"/>
  <c r="M268" i="11"/>
  <c r="M260" i="11"/>
  <c r="M263" i="11"/>
  <c r="M266" i="11"/>
  <c r="M242" i="12"/>
  <c r="M239" i="12"/>
  <c r="M247" i="12"/>
  <c r="M241" i="12"/>
  <c r="M249" i="12"/>
  <c r="M246" i="12"/>
  <c r="M243" i="12"/>
  <c r="M251" i="12"/>
  <c r="L203" i="12"/>
  <c r="M248" i="12"/>
  <c r="M221" i="13"/>
  <c r="M231" i="13"/>
  <c r="M227" i="13"/>
  <c r="M223" i="13"/>
  <c r="M230" i="13"/>
  <c r="M226" i="13"/>
  <c r="M222" i="13"/>
  <c r="M233" i="13"/>
  <c r="M229" i="13"/>
  <c r="M225" i="13"/>
  <c r="H59" i="13"/>
  <c r="N56" i="13"/>
  <c r="L288" i="23"/>
  <c r="M240" i="12"/>
  <c r="N88" i="12"/>
  <c r="N176" i="12" s="1"/>
  <c r="M231" i="10"/>
  <c r="M232" i="13"/>
  <c r="M256" i="11"/>
  <c r="M233" i="1"/>
  <c r="M226" i="1"/>
  <c r="M232" i="1"/>
  <c r="M227" i="1"/>
  <c r="M228" i="1"/>
  <c r="M229" i="1"/>
  <c r="M225" i="1"/>
  <c r="M230" i="1"/>
  <c r="M222" i="1"/>
  <c r="M224" i="1"/>
  <c r="K266" i="9"/>
  <c r="K256" i="9"/>
  <c r="K264" i="9"/>
  <c r="H60" i="11"/>
  <c r="L198" i="11"/>
  <c r="M238" i="16"/>
  <c r="M247" i="16"/>
  <c r="M243" i="16"/>
  <c r="M239" i="16"/>
  <c r="M250" i="16"/>
  <c r="M246" i="16"/>
  <c r="M242" i="16"/>
  <c r="M249" i="16"/>
  <c r="M245" i="16"/>
  <c r="M241" i="16"/>
  <c r="N56" i="16"/>
  <c r="N152" i="16" s="1"/>
  <c r="H59" i="16"/>
  <c r="K242" i="18"/>
  <c r="K250" i="18"/>
  <c r="K244" i="18"/>
  <c r="K247" i="18"/>
  <c r="K245" i="18"/>
  <c r="K238" i="18"/>
  <c r="K246" i="18"/>
  <c r="K243" i="18"/>
  <c r="L235" i="18"/>
  <c r="M223" i="18" s="1"/>
  <c r="J235" i="18"/>
  <c r="K225" i="18" s="1"/>
  <c r="K274" i="19"/>
  <c r="K277" i="19"/>
  <c r="K284" i="19"/>
  <c r="K280" i="19"/>
  <c r="K283" i="19"/>
  <c r="K282" i="19"/>
  <c r="J288" i="19"/>
  <c r="K276" i="19"/>
  <c r="K279" i="19"/>
  <c r="K227" i="19"/>
  <c r="K233" i="19"/>
  <c r="K223" i="19"/>
  <c r="K232" i="19"/>
  <c r="K224" i="19"/>
  <c r="K222" i="19"/>
  <c r="M250" i="22"/>
  <c r="M244" i="22"/>
  <c r="M240" i="22"/>
  <c r="M249" i="22"/>
  <c r="M243" i="22"/>
  <c r="M239" i="22"/>
  <c r="M248" i="22"/>
  <c r="M242" i="22"/>
  <c r="M238" i="22"/>
  <c r="N119" i="24"/>
  <c r="N42" i="24"/>
  <c r="K233" i="12"/>
  <c r="K228" i="12"/>
  <c r="K230" i="12"/>
  <c r="K229" i="12"/>
  <c r="K234" i="12"/>
  <c r="K231" i="12"/>
  <c r="K225" i="12"/>
  <c r="K222" i="12"/>
  <c r="K232" i="12"/>
  <c r="L202" i="13"/>
  <c r="L271" i="13"/>
  <c r="J288" i="27"/>
  <c r="K246" i="23"/>
  <c r="K241" i="23"/>
  <c r="M229" i="21"/>
  <c r="M226" i="21"/>
  <c r="K245" i="23"/>
  <c r="J288" i="23"/>
  <c r="M233" i="22"/>
  <c r="M232" i="21"/>
  <c r="N59" i="21"/>
  <c r="N72" i="21" s="1"/>
  <c r="N153" i="21" s="1"/>
  <c r="K228" i="20"/>
  <c r="N59" i="14"/>
  <c r="N72" i="14" s="1"/>
  <c r="N153" i="14" s="1"/>
  <c r="N152" i="14"/>
  <c r="M245" i="12"/>
  <c r="L197" i="13"/>
  <c r="M222" i="10"/>
  <c r="M264" i="11"/>
  <c r="M258" i="1"/>
  <c r="M262" i="1"/>
  <c r="M256" i="1"/>
  <c r="L271" i="1"/>
  <c r="M261" i="1"/>
  <c r="L203" i="1"/>
  <c r="M260" i="1"/>
  <c r="M257" i="1"/>
  <c r="M264" i="1"/>
  <c r="M265" i="1"/>
  <c r="K259" i="2"/>
  <c r="K263" i="2"/>
  <c r="K255" i="2"/>
  <c r="K261" i="2"/>
  <c r="K265" i="2"/>
  <c r="K258" i="2"/>
  <c r="L204" i="3"/>
  <c r="M259" i="3"/>
  <c r="M261" i="3"/>
  <c r="M263" i="3"/>
  <c r="M264" i="3"/>
  <c r="L272" i="3"/>
  <c r="K232" i="4"/>
  <c r="K222" i="4"/>
  <c r="K226" i="11"/>
  <c r="K230" i="11"/>
  <c r="K233" i="11"/>
  <c r="K224" i="11"/>
  <c r="J272" i="11"/>
  <c r="K223" i="11"/>
  <c r="K231" i="11"/>
  <c r="K232" i="11"/>
  <c r="K222" i="11"/>
  <c r="K229" i="11"/>
  <c r="K225" i="11"/>
  <c r="M279" i="14"/>
  <c r="L288" i="14"/>
  <c r="M239" i="14"/>
  <c r="M245" i="14"/>
  <c r="J235" i="14"/>
  <c r="K226" i="14" s="1"/>
  <c r="L235" i="14"/>
  <c r="M230" i="14" s="1"/>
  <c r="K248" i="20"/>
  <c r="K244" i="20"/>
  <c r="K240" i="20"/>
  <c r="L288" i="20"/>
  <c r="L202" i="20"/>
  <c r="H59" i="20"/>
  <c r="L197" i="20"/>
  <c r="M241" i="22"/>
  <c r="M229" i="7"/>
  <c r="M226" i="7"/>
  <c r="M231" i="7"/>
  <c r="M225" i="7"/>
  <c r="M234" i="7"/>
  <c r="N88" i="8"/>
  <c r="N41" i="13"/>
  <c r="N30" i="13"/>
  <c r="K223" i="23"/>
  <c r="M222" i="21"/>
  <c r="M224" i="7"/>
  <c r="K221" i="23"/>
  <c r="K247" i="23"/>
  <c r="K240" i="23"/>
  <c r="M223" i="22"/>
  <c r="M224" i="22"/>
  <c r="M231" i="21"/>
  <c r="M224" i="21"/>
  <c r="N152" i="20"/>
  <c r="N59" i="20"/>
  <c r="N72" i="20" s="1"/>
  <c r="N153" i="20" s="1"/>
  <c r="K228" i="23"/>
  <c r="K250" i="23"/>
  <c r="K244" i="23"/>
  <c r="K243" i="23"/>
  <c r="M231" i="22"/>
  <c r="M232" i="22"/>
  <c r="M222" i="22"/>
  <c r="M225" i="21"/>
  <c r="M233" i="21"/>
  <c r="M230" i="21"/>
  <c r="N119" i="16"/>
  <c r="K224" i="12"/>
  <c r="L197" i="16"/>
  <c r="K239" i="18"/>
  <c r="J288" i="18"/>
  <c r="K203" i="8"/>
  <c r="M224" i="13"/>
  <c r="M240" i="16"/>
  <c r="L288" i="16"/>
  <c r="M258" i="3"/>
  <c r="M246" i="22"/>
  <c r="M278" i="23"/>
  <c r="M279" i="23"/>
  <c r="N30" i="1"/>
  <c r="N84" i="1"/>
  <c r="N87" i="1" s="1"/>
  <c r="M227" i="3"/>
  <c r="L88" i="3"/>
  <c r="L113" i="3" s="1"/>
  <c r="N41" i="3"/>
  <c r="K230" i="5"/>
  <c r="L88" i="5"/>
  <c r="L198" i="5"/>
  <c r="N30" i="11"/>
  <c r="L235" i="17"/>
  <c r="M233" i="17" s="1"/>
  <c r="M238" i="21"/>
  <c r="N29" i="7"/>
  <c r="N34" i="7" s="1"/>
  <c r="L190" i="7" s="1"/>
  <c r="L191" i="7" s="1"/>
  <c r="N178" i="9"/>
  <c r="L288" i="21"/>
  <c r="L113" i="12"/>
  <c r="L272" i="10"/>
  <c r="N29" i="15"/>
  <c r="N34" i="15" s="1"/>
  <c r="L189" i="15" s="1"/>
  <c r="L190" i="15" s="1"/>
  <c r="M275" i="25"/>
  <c r="K224" i="17"/>
  <c r="K231" i="17"/>
  <c r="K222" i="14"/>
  <c r="K224" i="1"/>
  <c r="K233" i="1"/>
  <c r="K229" i="1"/>
  <c r="K221" i="1"/>
  <c r="K227" i="1"/>
  <c r="K222" i="1"/>
  <c r="K231" i="1"/>
  <c r="L202" i="2"/>
  <c r="L271" i="2"/>
  <c r="K225" i="3"/>
  <c r="K233" i="3"/>
  <c r="K224" i="3"/>
  <c r="K228" i="3"/>
  <c r="K232" i="3"/>
  <c r="K267" i="3"/>
  <c r="K257" i="3"/>
  <c r="K259" i="3"/>
  <c r="K263" i="3"/>
  <c r="K256" i="3"/>
  <c r="K262" i="3"/>
  <c r="K204" i="3"/>
  <c r="K265" i="3"/>
  <c r="K264" i="3"/>
  <c r="K226" i="4"/>
  <c r="K228" i="4"/>
  <c r="K223" i="4"/>
  <c r="K231" i="4"/>
  <c r="K230" i="4"/>
  <c r="K233" i="4"/>
  <c r="M224" i="4"/>
  <c r="M227" i="4"/>
  <c r="M223" i="4"/>
  <c r="M234" i="4"/>
  <c r="M226" i="4"/>
  <c r="M231" i="4"/>
  <c r="M229" i="4"/>
  <c r="M234" i="5"/>
  <c r="M228" i="5"/>
  <c r="M230" i="5"/>
  <c r="M224" i="5"/>
  <c r="M226" i="5"/>
  <c r="L272" i="5"/>
  <c r="N42" i="8"/>
  <c r="N120" i="8"/>
  <c r="K251" i="8"/>
  <c r="K245" i="8"/>
  <c r="K240" i="8"/>
  <c r="K248" i="8"/>
  <c r="L204" i="8"/>
  <c r="M259" i="8"/>
  <c r="M267" i="8"/>
  <c r="M262" i="8"/>
  <c r="M261" i="8"/>
  <c r="M260" i="8"/>
  <c r="M265" i="8"/>
  <c r="K226" i="9"/>
  <c r="K232" i="9"/>
  <c r="K233" i="9"/>
  <c r="K234" i="9"/>
  <c r="K225" i="9"/>
  <c r="K230" i="9"/>
  <c r="K224" i="9"/>
  <c r="K204" i="9"/>
  <c r="K257" i="9"/>
  <c r="K259" i="9"/>
  <c r="K261" i="9"/>
  <c r="K263" i="9"/>
  <c r="K265" i="9"/>
  <c r="K258" i="9"/>
  <c r="K262" i="9"/>
  <c r="K267" i="9"/>
  <c r="J272" i="9"/>
  <c r="K203" i="9"/>
  <c r="K239" i="9"/>
  <c r="K241" i="9"/>
  <c r="K243" i="9"/>
  <c r="K245" i="9"/>
  <c r="K247" i="9"/>
  <c r="K249" i="9"/>
  <c r="K251" i="9"/>
  <c r="K242" i="9"/>
  <c r="K246" i="9"/>
  <c r="K250" i="9"/>
  <c r="N57" i="9"/>
  <c r="J60" i="9"/>
  <c r="K247" i="21"/>
  <c r="K239" i="21"/>
  <c r="K243" i="21"/>
  <c r="M273" i="24"/>
  <c r="M280" i="24"/>
  <c r="L203" i="24"/>
  <c r="N175" i="28"/>
  <c r="L191" i="28"/>
  <c r="K223" i="28"/>
  <c r="K225" i="28"/>
  <c r="K227" i="28"/>
  <c r="K229" i="28"/>
  <c r="K231" i="28"/>
  <c r="K233" i="28"/>
  <c r="K222" i="28"/>
  <c r="K226" i="28"/>
  <c r="K230" i="28"/>
  <c r="K221" i="28"/>
  <c r="N59" i="27"/>
  <c r="N72" i="27" s="1"/>
  <c r="N153" i="27" s="1"/>
  <c r="M222" i="26"/>
  <c r="M241" i="24"/>
  <c r="M242" i="24"/>
  <c r="M247" i="24"/>
  <c r="M246" i="24"/>
  <c r="M252" i="24" s="1"/>
  <c r="M248" i="24"/>
  <c r="M275" i="24"/>
  <c r="M279" i="24"/>
  <c r="M283" i="24"/>
  <c r="M274" i="24"/>
  <c r="M282" i="24"/>
  <c r="M284" i="24"/>
  <c r="M284" i="21"/>
  <c r="M280" i="21"/>
  <c r="M276" i="21"/>
  <c r="M272" i="21"/>
  <c r="M281" i="21"/>
  <c r="M286" i="21" s="1"/>
  <c r="M273" i="21"/>
  <c r="M275" i="21"/>
  <c r="N175" i="20"/>
  <c r="K231" i="20"/>
  <c r="K233" i="20"/>
  <c r="K232" i="20"/>
  <c r="M223" i="20"/>
  <c r="K229" i="8"/>
  <c r="K234" i="4"/>
  <c r="K227" i="9"/>
  <c r="N60" i="5"/>
  <c r="N73" i="5" s="1"/>
  <c r="N154" i="5" s="1"/>
  <c r="K230" i="18"/>
  <c r="K227" i="18"/>
  <c r="K231" i="18"/>
  <c r="K228" i="9"/>
  <c r="J271" i="1"/>
  <c r="M227" i="5"/>
  <c r="M231" i="5"/>
  <c r="M229" i="5"/>
  <c r="M233" i="4"/>
  <c r="M228" i="4"/>
  <c r="M222" i="4"/>
  <c r="K225" i="17"/>
  <c r="K227" i="17"/>
  <c r="N59" i="17"/>
  <c r="N72" i="17" s="1"/>
  <c r="N153" i="17" s="1"/>
  <c r="N152" i="17"/>
  <c r="K244" i="8"/>
  <c r="K241" i="8"/>
  <c r="K226" i="3"/>
  <c r="K225" i="1"/>
  <c r="M268" i="8"/>
  <c r="M266" i="8"/>
  <c r="M263" i="8"/>
  <c r="K261" i="3"/>
  <c r="K258" i="3"/>
  <c r="K232" i="1"/>
  <c r="K225" i="4"/>
  <c r="K227" i="4"/>
  <c r="K224" i="4"/>
  <c r="K223" i="9"/>
  <c r="K223" i="3"/>
  <c r="K223" i="1"/>
  <c r="K230" i="1"/>
  <c r="K203" i="2"/>
  <c r="K256" i="2"/>
  <c r="K260" i="2"/>
  <c r="K264" i="2"/>
  <c r="J271" i="2"/>
  <c r="K262" i="2"/>
  <c r="K257" i="2"/>
  <c r="L87" i="1"/>
  <c r="L112" i="1" s="1"/>
  <c r="K260" i="3"/>
  <c r="K234" i="3"/>
  <c r="K229" i="4"/>
  <c r="K223" i="6"/>
  <c r="K224" i="6"/>
  <c r="K231" i="6"/>
  <c r="K227" i="6"/>
  <c r="K225" i="6"/>
  <c r="K226" i="7"/>
  <c r="K225" i="7"/>
  <c r="K233" i="7"/>
  <c r="K228" i="7"/>
  <c r="K227" i="7"/>
  <c r="K204" i="7"/>
  <c r="J272" i="7"/>
  <c r="K268" i="9"/>
  <c r="K260" i="9"/>
  <c r="K248" i="9"/>
  <c r="K240" i="9"/>
  <c r="K232" i="10"/>
  <c r="K228" i="10"/>
  <c r="K230" i="10"/>
  <c r="K223" i="10"/>
  <c r="M246" i="10"/>
  <c r="L203" i="10"/>
  <c r="M241" i="10"/>
  <c r="M245" i="10"/>
  <c r="M249" i="10"/>
  <c r="M244" i="10"/>
  <c r="M242" i="10"/>
  <c r="M224" i="12"/>
  <c r="M223" i="12"/>
  <c r="M231" i="12"/>
  <c r="M226" i="12"/>
  <c r="M234" i="12"/>
  <c r="M225" i="12"/>
  <c r="M229" i="12"/>
  <c r="L272" i="12"/>
  <c r="K204" i="12"/>
  <c r="K260" i="12"/>
  <c r="K262" i="12"/>
  <c r="K264" i="12"/>
  <c r="K266" i="12"/>
  <c r="K268" i="12"/>
  <c r="K258" i="12"/>
  <c r="K263" i="12"/>
  <c r="K267" i="12"/>
  <c r="J272" i="12"/>
  <c r="K203" i="12"/>
  <c r="K241" i="12"/>
  <c r="K245" i="12"/>
  <c r="K248" i="12"/>
  <c r="K251" i="12"/>
  <c r="K240" i="12"/>
  <c r="N30" i="15"/>
  <c r="L197" i="15"/>
  <c r="N56" i="15"/>
  <c r="K250" i="17"/>
  <c r="K248" i="17"/>
  <c r="K246" i="17"/>
  <c r="K244" i="17"/>
  <c r="K242" i="17"/>
  <c r="K240" i="17"/>
  <c r="K233" i="17"/>
  <c r="K232" i="17"/>
  <c r="K229" i="17"/>
  <c r="K228" i="17"/>
  <c r="K221" i="17"/>
  <c r="K238" i="25"/>
  <c r="K250" i="25"/>
  <c r="K244" i="25"/>
  <c r="K240" i="25"/>
  <c r="K245" i="25"/>
  <c r="K232" i="28"/>
  <c r="K224" i="28"/>
  <c r="L112" i="17"/>
  <c r="N41" i="1"/>
  <c r="N41" i="2"/>
  <c r="K203" i="11"/>
  <c r="K245" i="11"/>
  <c r="K226" i="12"/>
  <c r="K227" i="12"/>
  <c r="N83" i="17"/>
  <c r="N87" i="17" s="1"/>
  <c r="K250" i="20"/>
  <c r="K246" i="20"/>
  <c r="K242" i="20"/>
  <c r="K250" i="27"/>
  <c r="K247" i="27"/>
  <c r="K246" i="27"/>
  <c r="K242" i="27"/>
  <c r="K239" i="27"/>
  <c r="L88" i="9"/>
  <c r="L113" i="9" s="1"/>
  <c r="N30" i="9"/>
  <c r="N29" i="9"/>
  <c r="N34" i="9" s="1"/>
  <c r="L190" i="9" s="1"/>
  <c r="L191" i="9" s="1"/>
  <c r="N84" i="10"/>
  <c r="N88" i="10" s="1"/>
  <c r="N174" i="10" s="1"/>
  <c r="N84" i="11"/>
  <c r="N88" i="11" s="1"/>
  <c r="N30" i="16"/>
  <c r="N147" i="19"/>
  <c r="N83" i="19"/>
  <c r="N87" i="19" s="1"/>
  <c r="N147" i="22"/>
  <c r="N30" i="25"/>
  <c r="N83" i="26"/>
  <c r="N87" i="26" s="1"/>
  <c r="L191" i="26" s="1"/>
  <c r="N83" i="27"/>
  <c r="N176" i="10"/>
  <c r="L192" i="10"/>
  <c r="M266" i="1"/>
  <c r="M255" i="1"/>
  <c r="N84" i="4"/>
  <c r="K228" i="5"/>
  <c r="K229" i="5"/>
  <c r="L113" i="5"/>
  <c r="J272" i="6"/>
  <c r="N30" i="7"/>
  <c r="L88" i="8"/>
  <c r="L113" i="8" s="1"/>
  <c r="N30" i="8"/>
  <c r="M246" i="8"/>
  <c r="K243" i="8"/>
  <c r="K222" i="10"/>
  <c r="L88" i="11"/>
  <c r="L113" i="11" s="1"/>
  <c r="K203" i="18"/>
  <c r="K273" i="18"/>
  <c r="K238" i="21"/>
  <c r="K250" i="21"/>
  <c r="K248" i="21"/>
  <c r="K246" i="21"/>
  <c r="K244" i="21"/>
  <c r="K242" i="21"/>
  <c r="K240" i="21"/>
  <c r="K224" i="22"/>
  <c r="K230" i="22"/>
  <c r="N30" i="24"/>
  <c r="K272" i="24"/>
  <c r="K277" i="24"/>
  <c r="K286" i="23"/>
  <c r="K223" i="20"/>
  <c r="N87" i="2"/>
  <c r="L191" i="2" s="1"/>
  <c r="K229" i="3"/>
  <c r="K227" i="3"/>
  <c r="M257" i="3"/>
  <c r="N29" i="5"/>
  <c r="N34" i="5" s="1"/>
  <c r="L190" i="5" s="1"/>
  <c r="L191" i="5" s="1"/>
  <c r="K230" i="6"/>
  <c r="K203" i="6"/>
  <c r="L88" i="7"/>
  <c r="L113" i="7" s="1"/>
  <c r="K229" i="9"/>
  <c r="K222" i="9"/>
  <c r="N29" i="11"/>
  <c r="N34" i="11" s="1"/>
  <c r="L190" i="11" s="1"/>
  <c r="L191" i="11" s="1"/>
  <c r="N57" i="11"/>
  <c r="N60" i="11" s="1"/>
  <c r="N73" i="11" s="1"/>
  <c r="N154" i="11" s="1"/>
  <c r="N120" i="12"/>
  <c r="K249" i="14"/>
  <c r="K246" i="14"/>
  <c r="K245" i="14"/>
  <c r="K243" i="14"/>
  <c r="K241" i="14"/>
  <c r="L87" i="14"/>
  <c r="N83" i="14"/>
  <c r="N87" i="14" s="1"/>
  <c r="L87" i="18"/>
  <c r="L112" i="18" s="1"/>
  <c r="N30" i="18"/>
  <c r="K203" i="19"/>
  <c r="K275" i="19"/>
  <c r="K238" i="20"/>
  <c r="K249" i="20"/>
  <c r="K247" i="20"/>
  <c r="K245" i="20"/>
  <c r="K243" i="20"/>
  <c r="K241" i="20"/>
  <c r="K239" i="20"/>
  <c r="K241" i="21"/>
  <c r="K245" i="21"/>
  <c r="K249" i="21"/>
  <c r="M280" i="22"/>
  <c r="M276" i="22"/>
  <c r="M275" i="22"/>
  <c r="M273" i="22"/>
  <c r="K203" i="24"/>
  <c r="M283" i="25"/>
  <c r="M273" i="25"/>
  <c r="N29" i="26"/>
  <c r="N34" i="26" s="1"/>
  <c r="L189" i="26" s="1"/>
  <c r="L190" i="26" s="1"/>
  <c r="L87" i="15"/>
  <c r="L112" i="15" s="1"/>
  <c r="N147" i="17"/>
  <c r="N147" i="18"/>
  <c r="L87" i="19"/>
  <c r="L87" i="20"/>
  <c r="L112" i="20" s="1"/>
  <c r="N147" i="21"/>
  <c r="N30" i="22"/>
  <c r="N147" i="23"/>
  <c r="N29" i="24"/>
  <c r="N34" i="24" s="1"/>
  <c r="L189" i="24" s="1"/>
  <c r="L190" i="24" s="1"/>
  <c r="N147" i="25"/>
  <c r="L235" i="25"/>
  <c r="L87" i="25"/>
  <c r="L112" i="25" s="1"/>
  <c r="L203" i="26"/>
  <c r="N41" i="27"/>
  <c r="N147" i="27"/>
  <c r="K240" i="27"/>
  <c r="K241" i="27"/>
  <c r="K243" i="27"/>
  <c r="K245" i="27"/>
  <c r="K249" i="27"/>
  <c r="K276" i="27"/>
  <c r="K280" i="27"/>
  <c r="K284" i="27"/>
  <c r="M286" i="28"/>
  <c r="H60" i="3"/>
  <c r="L198" i="3"/>
  <c r="K203" i="4"/>
  <c r="J272" i="4"/>
  <c r="J235" i="25"/>
  <c r="K221" i="25" s="1"/>
  <c r="K231" i="24"/>
  <c r="K230" i="24"/>
  <c r="K239" i="24"/>
  <c r="K241" i="24"/>
  <c r="K243" i="24"/>
  <c r="K247" i="24"/>
  <c r="K233" i="22"/>
  <c r="K227" i="22"/>
  <c r="K224" i="21"/>
  <c r="K227" i="21"/>
  <c r="K233" i="21"/>
  <c r="M272" i="14"/>
  <c r="N57" i="3"/>
  <c r="K222" i="2"/>
  <c r="K224" i="2"/>
  <c r="K232" i="2"/>
  <c r="K227" i="2"/>
  <c r="K226" i="2"/>
  <c r="K233" i="2"/>
  <c r="K225" i="2"/>
  <c r="K231" i="2"/>
  <c r="K228" i="2"/>
  <c r="K221" i="2"/>
  <c r="J60" i="6"/>
  <c r="N57" i="6"/>
  <c r="N153" i="6" s="1"/>
  <c r="N42" i="4"/>
  <c r="N120" i="4"/>
  <c r="K238" i="26"/>
  <c r="K250" i="26"/>
  <c r="K244" i="26"/>
  <c r="K240" i="26"/>
  <c r="K248" i="26"/>
  <c r="K243" i="26"/>
  <c r="K239" i="26"/>
  <c r="K246" i="26"/>
  <c r="K242" i="26"/>
  <c r="K245" i="26"/>
  <c r="K241" i="26"/>
  <c r="K226" i="22"/>
  <c r="N57" i="4"/>
  <c r="L198" i="4"/>
  <c r="M276" i="14"/>
  <c r="M284" i="14"/>
  <c r="M272" i="17"/>
  <c r="M283" i="17"/>
  <c r="M279" i="17"/>
  <c r="M275" i="17"/>
  <c r="M282" i="17"/>
  <c r="M278" i="17"/>
  <c r="M274" i="17"/>
  <c r="L288" i="17"/>
  <c r="M281" i="17"/>
  <c r="M277" i="17"/>
  <c r="M273" i="17"/>
  <c r="M231" i="26"/>
  <c r="N41" i="24"/>
  <c r="K238" i="24"/>
  <c r="K242" i="24"/>
  <c r="K245" i="24"/>
  <c r="K249" i="24"/>
  <c r="M221" i="24"/>
  <c r="N177" i="23"/>
  <c r="K225" i="23"/>
  <c r="K227" i="23"/>
  <c r="H59" i="23"/>
  <c r="K223" i="22"/>
  <c r="K228" i="21"/>
  <c r="K221" i="21"/>
  <c r="N104" i="20"/>
  <c r="N111" i="20" s="1"/>
  <c r="N112" i="20" s="1"/>
  <c r="K221" i="20"/>
  <c r="K226" i="20"/>
  <c r="K222" i="20"/>
  <c r="N119" i="17"/>
  <c r="M273" i="14"/>
  <c r="M281" i="14"/>
  <c r="N56" i="19"/>
  <c r="M276" i="17"/>
  <c r="N57" i="1"/>
  <c r="L197" i="1"/>
  <c r="H60" i="1"/>
  <c r="L204" i="6"/>
  <c r="L272" i="6"/>
  <c r="M230" i="7"/>
  <c r="M228" i="7"/>
  <c r="M222" i="7"/>
  <c r="M232" i="7"/>
  <c r="M223" i="7"/>
  <c r="M233" i="7"/>
  <c r="L272" i="7"/>
  <c r="M227" i="7"/>
  <c r="M233" i="8"/>
  <c r="M228" i="8"/>
  <c r="M231" i="8"/>
  <c r="M229" i="8"/>
  <c r="M224" i="8"/>
  <c r="L272" i="8"/>
  <c r="M226" i="8"/>
  <c r="M227" i="8"/>
  <c r="M222" i="8"/>
  <c r="N59" i="22"/>
  <c r="N72" i="22" s="1"/>
  <c r="N153" i="22" s="1"/>
  <c r="L204" i="4"/>
  <c r="L272" i="4"/>
  <c r="N41" i="5"/>
  <c r="N30" i="5"/>
  <c r="M221" i="26"/>
  <c r="M225" i="26"/>
  <c r="K233" i="24"/>
  <c r="K223" i="24"/>
  <c r="K240" i="24"/>
  <c r="K244" i="24"/>
  <c r="K229" i="23"/>
  <c r="K231" i="23"/>
  <c r="K222" i="23"/>
  <c r="N56" i="23"/>
  <c r="K226" i="21"/>
  <c r="K230" i="21"/>
  <c r="N173" i="20"/>
  <c r="K224" i="20"/>
  <c r="K229" i="20"/>
  <c r="K286" i="20"/>
  <c r="M275" i="14"/>
  <c r="M283" i="14"/>
  <c r="H60" i="4"/>
  <c r="M280" i="17"/>
  <c r="F73" i="2"/>
  <c r="M234" i="3"/>
  <c r="M228" i="3"/>
  <c r="M233" i="3"/>
  <c r="M222" i="3"/>
  <c r="M225" i="3"/>
  <c r="M231" i="3"/>
  <c r="M223" i="3"/>
  <c r="M226" i="3"/>
  <c r="M229" i="3"/>
  <c r="M232" i="3"/>
  <c r="M224" i="6"/>
  <c r="M222" i="6"/>
  <c r="M223" i="6"/>
  <c r="M225" i="6"/>
  <c r="M226" i="6"/>
  <c r="M227" i="6"/>
  <c r="M229" i="6"/>
  <c r="K221" i="13"/>
  <c r="K227" i="13"/>
  <c r="K226" i="13"/>
  <c r="K232" i="13"/>
  <c r="K228" i="13"/>
  <c r="K233" i="13"/>
  <c r="K223" i="13"/>
  <c r="K229" i="13"/>
  <c r="K225" i="13"/>
  <c r="K231" i="13"/>
  <c r="K230" i="13"/>
  <c r="K224" i="13"/>
  <c r="N30" i="2"/>
  <c r="N29" i="2"/>
  <c r="N34" i="2" s="1"/>
  <c r="L189" i="2" s="1"/>
  <c r="L190" i="2" s="1"/>
  <c r="N30" i="3"/>
  <c r="N29" i="3"/>
  <c r="N34" i="3" s="1"/>
  <c r="L190" i="3" s="1"/>
  <c r="L191" i="3" s="1"/>
  <c r="N29" i="4"/>
  <c r="N34" i="4" s="1"/>
  <c r="L190" i="4" s="1"/>
  <c r="L191" i="4" s="1"/>
  <c r="N88" i="4"/>
  <c r="N88" i="5"/>
  <c r="N119" i="14"/>
  <c r="N42" i="14"/>
  <c r="M238" i="14"/>
  <c r="M240" i="14"/>
  <c r="M242" i="14"/>
  <c r="M244" i="14"/>
  <c r="M246" i="14"/>
  <c r="M248" i="14"/>
  <c r="M250" i="14"/>
  <c r="K244" i="15"/>
  <c r="K241" i="15"/>
  <c r="K245" i="15"/>
  <c r="K248" i="15"/>
  <c r="K203" i="15"/>
  <c r="K282" i="15"/>
  <c r="K286" i="15" s="1"/>
  <c r="K249" i="18"/>
  <c r="K241" i="18"/>
  <c r="J288" i="24"/>
  <c r="M248" i="27"/>
  <c r="M250" i="27"/>
  <c r="M247" i="27"/>
  <c r="M245" i="27"/>
  <c r="M243" i="27"/>
  <c r="M241" i="27"/>
  <c r="M239" i="27"/>
  <c r="M249" i="27"/>
  <c r="M222" i="28"/>
  <c r="M226" i="28"/>
  <c r="M230" i="28"/>
  <c r="M221" i="28"/>
  <c r="M223" i="28"/>
  <c r="M227" i="28"/>
  <c r="M231" i="28"/>
  <c r="M224" i="28"/>
  <c r="M228" i="28"/>
  <c r="M232" i="28"/>
  <c r="K286" i="16"/>
  <c r="K221" i="14"/>
  <c r="M269" i="13"/>
  <c r="M221" i="2"/>
  <c r="M267" i="3"/>
  <c r="M262" i="3"/>
  <c r="L88" i="4"/>
  <c r="L113" i="4" s="1"/>
  <c r="K234" i="5"/>
  <c r="K224" i="5"/>
  <c r="N29" i="6"/>
  <c r="N34" i="6" s="1"/>
  <c r="L190" i="6" s="1"/>
  <c r="L191" i="6" s="1"/>
  <c r="N84" i="6"/>
  <c r="N88" i="6" s="1"/>
  <c r="N105" i="6" s="1"/>
  <c r="N112" i="6" s="1"/>
  <c r="K230" i="7"/>
  <c r="N57" i="7"/>
  <c r="N84" i="7"/>
  <c r="N88" i="7" s="1"/>
  <c r="N174" i="7" s="1"/>
  <c r="M257" i="8"/>
  <c r="M264" i="8"/>
  <c r="M251" i="9"/>
  <c r="L203" i="9"/>
  <c r="M249" i="9"/>
  <c r="M243" i="9"/>
  <c r="M246" i="11"/>
  <c r="M244" i="11"/>
  <c r="M250" i="11"/>
  <c r="M240" i="11"/>
  <c r="M242" i="11"/>
  <c r="M249" i="14"/>
  <c r="M241" i="14"/>
  <c r="N29" i="19"/>
  <c r="N34" i="19" s="1"/>
  <c r="L189" i="19" s="1"/>
  <c r="L190" i="19" s="1"/>
  <c r="L87" i="21"/>
  <c r="L112" i="21" s="1"/>
  <c r="K238" i="22"/>
  <c r="K248" i="22"/>
  <c r="K246" i="22"/>
  <c r="K244" i="22"/>
  <c r="K242" i="22"/>
  <c r="K240" i="22"/>
  <c r="K250" i="22"/>
  <c r="K247" i="22"/>
  <c r="K245" i="22"/>
  <c r="K243" i="22"/>
  <c r="K241" i="22"/>
  <c r="K239" i="22"/>
  <c r="K280" i="26"/>
  <c r="K272" i="26"/>
  <c r="K203" i="26"/>
  <c r="L87" i="26"/>
  <c r="L112" i="26" s="1"/>
  <c r="M244" i="27"/>
  <c r="N87" i="27"/>
  <c r="M229" i="28"/>
  <c r="M266" i="3"/>
  <c r="M260" i="3"/>
  <c r="M256" i="3"/>
  <c r="K231" i="5"/>
  <c r="K224" i="7"/>
  <c r="N41" i="7"/>
  <c r="M243" i="14"/>
  <c r="K238" i="17"/>
  <c r="J288" i="17"/>
  <c r="K272" i="22"/>
  <c r="K274" i="22"/>
  <c r="M242" i="27"/>
  <c r="M225" i="28"/>
  <c r="M241" i="8"/>
  <c r="N30" i="10"/>
  <c r="L88" i="10"/>
  <c r="L113" i="10" s="1"/>
  <c r="N41" i="11"/>
  <c r="L87" i="13"/>
  <c r="L112" i="13" s="1"/>
  <c r="N83" i="16"/>
  <c r="N87" i="16" s="1"/>
  <c r="N173" i="16" s="1"/>
  <c r="N41" i="19"/>
  <c r="N29" i="22"/>
  <c r="N34" i="22" s="1"/>
  <c r="L189" i="22" s="1"/>
  <c r="L190" i="22" s="1"/>
  <c r="N29" i="25"/>
  <c r="N34" i="25" s="1"/>
  <c r="L189" i="25" s="1"/>
  <c r="L190" i="25" s="1"/>
  <c r="N87" i="25"/>
  <c r="K273" i="27"/>
  <c r="K277" i="27"/>
  <c r="K281" i="27"/>
  <c r="K272" i="27"/>
  <c r="N41" i="17"/>
  <c r="M244" i="18"/>
  <c r="N41" i="20"/>
  <c r="L87" i="22"/>
  <c r="L112" i="22" s="1"/>
  <c r="M245" i="22"/>
  <c r="M247" i="22"/>
  <c r="N29" i="23"/>
  <c r="N34" i="23" s="1"/>
  <c r="L189" i="23" s="1"/>
  <c r="L190" i="23" s="1"/>
  <c r="L87" i="24"/>
  <c r="L112" i="24" s="1"/>
  <c r="N83" i="24"/>
  <c r="N87" i="24" s="1"/>
  <c r="K242" i="25"/>
  <c r="K246" i="25"/>
  <c r="M277" i="25"/>
  <c r="J235" i="26"/>
  <c r="J235" i="27"/>
  <c r="K234" i="10"/>
  <c r="N41" i="12"/>
  <c r="N29" i="17"/>
  <c r="N34" i="17" s="1"/>
  <c r="L189" i="17" s="1"/>
  <c r="L190" i="17" s="1"/>
  <c r="L112" i="19"/>
  <c r="N29" i="21"/>
  <c r="N34" i="21" s="1"/>
  <c r="L189" i="21" s="1"/>
  <c r="L190" i="21" s="1"/>
  <c r="N41" i="22"/>
  <c r="N83" i="22"/>
  <c r="N87" i="22" s="1"/>
  <c r="L87" i="23"/>
  <c r="L112" i="23" s="1"/>
  <c r="K239" i="25"/>
  <c r="K243" i="25"/>
  <c r="K248" i="25"/>
  <c r="M272" i="25"/>
  <c r="N29" i="27"/>
  <c r="N34" i="27" s="1"/>
  <c r="L189" i="27" s="1"/>
  <c r="L190" i="27" s="1"/>
  <c r="K275" i="27"/>
  <c r="K279" i="27"/>
  <c r="M283" i="27"/>
  <c r="M281" i="27"/>
  <c r="M279" i="27"/>
  <c r="M277" i="27"/>
  <c r="M275" i="27"/>
  <c r="M273" i="27"/>
  <c r="M284" i="27"/>
  <c r="M282" i="27"/>
  <c r="M280" i="27"/>
  <c r="M278" i="27"/>
  <c r="M276" i="27"/>
  <c r="M274" i="27"/>
  <c r="M272" i="27"/>
  <c r="L203" i="27"/>
  <c r="M226" i="26"/>
  <c r="M286" i="26"/>
  <c r="K286" i="25"/>
  <c r="M226" i="23"/>
  <c r="N174" i="9"/>
  <c r="N176" i="9"/>
  <c r="N105" i="9"/>
  <c r="N112" i="9" s="1"/>
  <c r="N113" i="9" s="1"/>
  <c r="L192" i="9"/>
  <c r="J60" i="8"/>
  <c r="N57" i="8"/>
  <c r="M228" i="14"/>
  <c r="M225" i="14"/>
  <c r="M232" i="14"/>
  <c r="N105" i="12"/>
  <c r="N112" i="12" s="1"/>
  <c r="N113" i="12" s="1"/>
  <c r="L192" i="12"/>
  <c r="N174" i="12"/>
  <c r="N41" i="6"/>
  <c r="N30" i="6"/>
  <c r="M229" i="26"/>
  <c r="M224" i="26"/>
  <c r="M232" i="26"/>
  <c r="M223" i="24"/>
  <c r="M232" i="24"/>
  <c r="M226" i="24"/>
  <c r="M231" i="24"/>
  <c r="M228" i="24"/>
  <c r="M222" i="24"/>
  <c r="M227" i="24"/>
  <c r="M224" i="24"/>
  <c r="M233" i="24"/>
  <c r="M229" i="24"/>
  <c r="M225" i="24"/>
  <c r="M231" i="18"/>
  <c r="M226" i="18"/>
  <c r="M222" i="18"/>
  <c r="N176" i="8"/>
  <c r="L192" i="8"/>
  <c r="N105" i="8"/>
  <c r="N112" i="8" s="1"/>
  <c r="N113" i="8" s="1"/>
  <c r="N178" i="8"/>
  <c r="N174" i="8"/>
  <c r="N152" i="2"/>
  <c r="N60" i="2"/>
  <c r="N73" i="2" s="1"/>
  <c r="N153" i="2" s="1"/>
  <c r="K222" i="8"/>
  <c r="K231" i="8"/>
  <c r="K223" i="8"/>
  <c r="K233" i="8"/>
  <c r="K225" i="8"/>
  <c r="K228" i="8"/>
  <c r="K226" i="8"/>
  <c r="K227" i="8"/>
  <c r="K224" i="8"/>
  <c r="J272" i="8"/>
  <c r="K234" i="8"/>
  <c r="K232" i="8"/>
  <c r="L235" i="15"/>
  <c r="M229" i="15" s="1"/>
  <c r="J235" i="15"/>
  <c r="L202" i="15"/>
  <c r="L288" i="15"/>
  <c r="K238" i="16"/>
  <c r="K250" i="16"/>
  <c r="K246" i="16"/>
  <c r="K242" i="16"/>
  <c r="K249" i="16"/>
  <c r="K245" i="16"/>
  <c r="K241" i="16"/>
  <c r="K248" i="16"/>
  <c r="K244" i="16"/>
  <c r="K240" i="16"/>
  <c r="K239" i="16"/>
  <c r="K247" i="16"/>
  <c r="L235" i="16"/>
  <c r="M230" i="16" s="1"/>
  <c r="L288" i="27"/>
  <c r="M230" i="26"/>
  <c r="M233" i="26"/>
  <c r="M223" i="26"/>
  <c r="M224" i="23"/>
  <c r="M223" i="23"/>
  <c r="M231" i="23"/>
  <c r="M228" i="23"/>
  <c r="M225" i="23"/>
  <c r="M233" i="23"/>
  <c r="M222" i="23"/>
  <c r="M227" i="23"/>
  <c r="M221" i="23"/>
  <c r="M230" i="23"/>
  <c r="N175" i="13"/>
  <c r="N173" i="13"/>
  <c r="N104" i="13"/>
  <c r="N111" i="13" s="1"/>
  <c r="N112" i="13" s="1"/>
  <c r="L191" i="13"/>
  <c r="N178" i="12"/>
  <c r="N177" i="18"/>
  <c r="N175" i="18"/>
  <c r="N153" i="11"/>
  <c r="L207" i="2"/>
  <c r="L208" i="2" s="1"/>
  <c r="L209" i="3" s="1"/>
  <c r="L209" i="4" s="1"/>
  <c r="L209" i="5" s="1"/>
  <c r="L209" i="6" s="1"/>
  <c r="L209" i="7" s="1"/>
  <c r="L209" i="8" s="1"/>
  <c r="L209" i="9" s="1"/>
  <c r="L209" i="10" s="1"/>
  <c r="L209" i="11" s="1"/>
  <c r="L209" i="12" s="1"/>
  <c r="L208" i="13" s="1"/>
  <c r="L208" i="14" s="1"/>
  <c r="L208" i="15" s="1"/>
  <c r="L208" i="16" s="1"/>
  <c r="L208" i="17" s="1"/>
  <c r="L208" i="18" s="1"/>
  <c r="L208" i="19" s="1"/>
  <c r="L208" i="20" s="1"/>
  <c r="L208" i="21" s="1"/>
  <c r="L208" i="22" s="1"/>
  <c r="L208" i="23" s="1"/>
  <c r="L208" i="24" s="1"/>
  <c r="L208" i="25" s="1"/>
  <c r="L208" i="26" s="1"/>
  <c r="L208" i="27" s="1"/>
  <c r="L208" i="28" s="1"/>
  <c r="L208" i="29" s="1"/>
  <c r="L208" i="30" s="1"/>
  <c r="L208" i="31" s="1"/>
  <c r="L208" i="32" s="1"/>
  <c r="L208" i="33" s="1"/>
  <c r="L208" i="34" s="1"/>
  <c r="L208" i="35" s="1"/>
  <c r="L208" i="36" s="1"/>
  <c r="L208" i="37" s="1"/>
  <c r="L208" i="38" s="1"/>
  <c r="L208" i="39" s="1"/>
  <c r="L208" i="40" s="1"/>
  <c r="L208" i="41" s="1"/>
  <c r="L208" i="42" s="1"/>
  <c r="L208" i="43" s="1"/>
  <c r="L208" i="44" s="1"/>
  <c r="L208" i="45" s="1"/>
  <c r="L208" i="46" s="1"/>
  <c r="L208" i="47" s="1"/>
  <c r="L208" i="48" s="1"/>
  <c r="L210" i="49" s="1"/>
  <c r="N145" i="2"/>
  <c r="N147" i="2" s="1"/>
  <c r="N176" i="7"/>
  <c r="L192" i="7"/>
  <c r="N105" i="7"/>
  <c r="N112" i="7" s="1"/>
  <c r="N113" i="7" s="1"/>
  <c r="K222" i="25"/>
  <c r="K231" i="25"/>
  <c r="K232" i="23"/>
  <c r="K230" i="23"/>
  <c r="K233" i="23"/>
  <c r="K228" i="22"/>
  <c r="M229" i="22"/>
  <c r="M221" i="22"/>
  <c r="K222" i="22"/>
  <c r="K232" i="21"/>
  <c r="K231" i="21"/>
  <c r="K225" i="21"/>
  <c r="L191" i="20"/>
  <c r="K222" i="18"/>
  <c r="K232" i="18"/>
  <c r="K223" i="17"/>
  <c r="K256" i="1"/>
  <c r="K264" i="1"/>
  <c r="K257" i="1"/>
  <c r="K265" i="1"/>
  <c r="K260" i="1"/>
  <c r="K239" i="8"/>
  <c r="K246" i="8"/>
  <c r="K247" i="8"/>
  <c r="K242" i="8"/>
  <c r="K250" i="8"/>
  <c r="K244" i="10"/>
  <c r="J272" i="10"/>
  <c r="K203" i="13"/>
  <c r="K257" i="13"/>
  <c r="K261" i="13"/>
  <c r="K265" i="13"/>
  <c r="K226" i="25"/>
  <c r="K229" i="22"/>
  <c r="K232" i="22"/>
  <c r="K221" i="22"/>
  <c r="K231" i="22"/>
  <c r="K221" i="18"/>
  <c r="K228" i="18"/>
  <c r="K226" i="18"/>
  <c r="N41" i="4"/>
  <c r="N30" i="4"/>
  <c r="N60" i="6"/>
  <c r="N73" i="6" s="1"/>
  <c r="N154" i="6" s="1"/>
  <c r="L113" i="6"/>
  <c r="N175" i="16"/>
  <c r="N104" i="16"/>
  <c r="N111" i="16" s="1"/>
  <c r="N112" i="16" s="1"/>
  <c r="N84" i="3"/>
  <c r="N88" i="3" s="1"/>
  <c r="N42" i="1"/>
  <c r="N119" i="1"/>
  <c r="N128" i="1" s="1"/>
  <c r="N34" i="1"/>
  <c r="L189" i="1" s="1"/>
  <c r="L190" i="1" s="1"/>
  <c r="L198" i="8"/>
  <c r="H60" i="8"/>
  <c r="K203" i="10"/>
  <c r="K241" i="10"/>
  <c r="K245" i="10"/>
  <c r="K249" i="10"/>
  <c r="K242" i="10"/>
  <c r="K246" i="10"/>
  <c r="K250" i="10"/>
  <c r="K239" i="10"/>
  <c r="K243" i="10"/>
  <c r="K247" i="10"/>
  <c r="K251" i="10"/>
  <c r="L168" i="2"/>
  <c r="L167" i="3" s="1"/>
  <c r="N166" i="2"/>
  <c r="K257" i="11"/>
  <c r="K266" i="11"/>
  <c r="K258" i="11"/>
  <c r="K256" i="11"/>
  <c r="K261" i="11"/>
  <c r="K264" i="11"/>
  <c r="K267" i="11"/>
  <c r="K259" i="11"/>
  <c r="K262" i="11"/>
  <c r="K265" i="11"/>
  <c r="N56" i="24"/>
  <c r="J59" i="24"/>
  <c r="M267" i="1"/>
  <c r="M250" i="8"/>
  <c r="M239" i="8"/>
  <c r="K264" i="8"/>
  <c r="J235" i="16"/>
  <c r="K232" i="16" s="1"/>
  <c r="N162" i="5"/>
  <c r="N159" i="6" s="1"/>
  <c r="N162" i="6" s="1"/>
  <c r="N159" i="7" s="1"/>
  <c r="N162" i="7" s="1"/>
  <c r="N159" i="8" s="1"/>
  <c r="N162" i="8" s="1"/>
  <c r="N159" i="9" s="1"/>
  <c r="N162" i="9" s="1"/>
  <c r="N159" i="10" s="1"/>
  <c r="N162" i="10" s="1"/>
  <c r="N159" i="11" s="1"/>
  <c r="N162" i="11" s="1"/>
  <c r="N159" i="12" s="1"/>
  <c r="N162" i="12" s="1"/>
  <c r="N158" i="13" s="1"/>
  <c r="N161" i="13" s="1"/>
  <c r="N158" i="14" s="1"/>
  <c r="N161" i="14" s="1"/>
  <c r="N158" i="15" s="1"/>
  <c r="N161" i="15" s="1"/>
  <c r="N158" i="16" s="1"/>
  <c r="N161" i="16" s="1"/>
  <c r="N158" i="17" s="1"/>
  <c r="N161" i="17" s="1"/>
  <c r="N158" i="18" s="1"/>
  <c r="N161" i="18" s="1"/>
  <c r="N158" i="19" s="1"/>
  <c r="N161" i="19" s="1"/>
  <c r="N158" i="20" s="1"/>
  <c r="N161" i="20" s="1"/>
  <c r="N158" i="21" s="1"/>
  <c r="N161" i="21" s="1"/>
  <c r="N158" i="22" s="1"/>
  <c r="N161" i="22" s="1"/>
  <c r="N158" i="23" s="1"/>
  <c r="N161" i="23" s="1"/>
  <c r="N158" i="24" s="1"/>
  <c r="N161" i="24" s="1"/>
  <c r="N158" i="25" s="1"/>
  <c r="N161" i="25" s="1"/>
  <c r="N158" i="26" s="1"/>
  <c r="N161" i="26" s="1"/>
  <c r="N158" i="27" s="1"/>
  <c r="N161" i="27" s="1"/>
  <c r="N158" i="28" s="1"/>
  <c r="N161" i="28" s="1"/>
  <c r="N158" i="29" s="1"/>
  <c r="N161" i="29" s="1"/>
  <c r="N158" i="30" s="1"/>
  <c r="N161" i="30" s="1"/>
  <c r="N158" i="31" s="1"/>
  <c r="N161" i="31" s="1"/>
  <c r="N158" i="32" s="1"/>
  <c r="N161" i="32" s="1"/>
  <c r="N158" i="33" s="1"/>
  <c r="N161" i="33" s="1"/>
  <c r="N158" i="34" s="1"/>
  <c r="N161" i="34" s="1"/>
  <c r="N158" i="35" s="1"/>
  <c r="N161" i="35" s="1"/>
  <c r="N158" i="36" s="1"/>
  <c r="N161" i="36" s="1"/>
  <c r="N158" i="37" s="1"/>
  <c r="N161" i="37" s="1"/>
  <c r="N158" i="38" s="1"/>
  <c r="N161" i="38" s="1"/>
  <c r="N158" i="39" s="1"/>
  <c r="N161" i="39" s="1"/>
  <c r="N158" i="40" s="1"/>
  <c r="N161" i="40" s="1"/>
  <c r="N158" i="41" s="1"/>
  <c r="N161" i="41" s="1"/>
  <c r="N158" i="42" s="1"/>
  <c r="N161" i="42" s="1"/>
  <c r="N158" i="43" s="1"/>
  <c r="N161" i="43" s="1"/>
  <c r="N158" i="44" s="1"/>
  <c r="N161" i="44" s="1"/>
  <c r="N158" i="45" s="1"/>
  <c r="N161" i="45" s="1"/>
  <c r="L288" i="19"/>
  <c r="M248" i="8"/>
  <c r="M222" i="11"/>
  <c r="M232" i="11"/>
  <c r="N29" i="12"/>
  <c r="N34" i="12" s="1"/>
  <c r="L190" i="12" s="1"/>
  <c r="L191" i="12" s="1"/>
  <c r="L203" i="14"/>
  <c r="M278" i="14"/>
  <c r="M280" i="14"/>
  <c r="M274" i="14"/>
  <c r="M282" i="14"/>
  <c r="L112" i="14"/>
  <c r="M250" i="15"/>
  <c r="M238" i="15"/>
  <c r="M277" i="15"/>
  <c r="M273" i="15"/>
  <c r="M281" i="15"/>
  <c r="L203" i="15"/>
  <c r="M275" i="15"/>
  <c r="M283" i="15"/>
  <c r="M249" i="25"/>
  <c r="M247" i="25"/>
  <c r="M245" i="25"/>
  <c r="M243" i="25"/>
  <c r="M241" i="25"/>
  <c r="M239" i="25"/>
  <c r="M250" i="25"/>
  <c r="M248" i="25"/>
  <c r="M246" i="25"/>
  <c r="M244" i="25"/>
  <c r="M242" i="25"/>
  <c r="M240" i="25"/>
  <c r="M238" i="25"/>
  <c r="N147" i="14"/>
  <c r="K274" i="18"/>
  <c r="K278" i="18"/>
  <c r="K282" i="18"/>
  <c r="H59" i="18"/>
  <c r="N56" i="18"/>
  <c r="L197" i="18"/>
  <c r="N30" i="19"/>
  <c r="N29" i="20"/>
  <c r="N34" i="20" s="1"/>
  <c r="L189" i="20" s="1"/>
  <c r="L190" i="20" s="1"/>
  <c r="M249" i="20"/>
  <c r="M247" i="20"/>
  <c r="M245" i="20"/>
  <c r="M243" i="20"/>
  <c r="M241" i="20"/>
  <c r="M239" i="20"/>
  <c r="M250" i="20"/>
  <c r="M248" i="20"/>
  <c r="M246" i="20"/>
  <c r="M244" i="20"/>
  <c r="M242" i="20"/>
  <c r="M240" i="20"/>
  <c r="M238" i="20"/>
  <c r="K240" i="15"/>
  <c r="N30" i="20"/>
  <c r="N41" i="26"/>
  <c r="N30" i="26"/>
  <c r="M249" i="26"/>
  <c r="M247" i="26"/>
  <c r="M245" i="26"/>
  <c r="M243" i="26"/>
  <c r="M241" i="26"/>
  <c r="M239" i="26"/>
  <c r="M250" i="26"/>
  <c r="M248" i="26"/>
  <c r="M246" i="26"/>
  <c r="M244" i="26"/>
  <c r="M242" i="26"/>
  <c r="M240" i="26"/>
  <c r="M238" i="26"/>
  <c r="L203" i="20"/>
  <c r="M283" i="20"/>
  <c r="M286" i="20" s="1"/>
  <c r="N41" i="23"/>
  <c r="N30" i="23"/>
  <c r="N167" i="23"/>
  <c r="N30" i="21"/>
  <c r="K275" i="22"/>
  <c r="K273" i="22"/>
  <c r="K203" i="22"/>
  <c r="L288" i="24"/>
  <c r="L202" i="24"/>
  <c r="L87" i="27"/>
  <c r="L112" i="27" s="1"/>
  <c r="K249" i="22"/>
  <c r="K238" i="27"/>
  <c r="N34" i="28"/>
  <c r="L189" i="28" s="1"/>
  <c r="L190" i="28" s="1"/>
  <c r="K247" i="25"/>
  <c r="K249" i="25"/>
  <c r="K247" i="26"/>
  <c r="K249" i="26"/>
  <c r="K278" i="26"/>
  <c r="K248" i="27"/>
  <c r="K286" i="28"/>
  <c r="N173" i="28"/>
  <c r="N177" i="28"/>
  <c r="N104" i="28"/>
  <c r="M252" i="28"/>
  <c r="K252" i="28"/>
  <c r="N152" i="28"/>
  <c r="N59" i="28"/>
  <c r="N72" i="28" s="1"/>
  <c r="N153" i="28" s="1"/>
  <c r="M270" i="3" l="1"/>
  <c r="M233" i="20"/>
  <c r="M223" i="17"/>
  <c r="M228" i="20"/>
  <c r="M227" i="20"/>
  <c r="M252" i="19"/>
  <c r="M286" i="18"/>
  <c r="M286" i="16"/>
  <c r="M270" i="9"/>
  <c r="M227" i="27"/>
  <c r="M221" i="27"/>
  <c r="M223" i="27"/>
  <c r="M225" i="27"/>
  <c r="M226" i="27"/>
  <c r="M229" i="27"/>
  <c r="M231" i="27"/>
  <c r="M233" i="27"/>
  <c r="M230" i="27"/>
  <c r="M224" i="27"/>
  <c r="M252" i="16"/>
  <c r="M252" i="17"/>
  <c r="K252" i="14"/>
  <c r="K286" i="17"/>
  <c r="K286" i="21"/>
  <c r="M222" i="27"/>
  <c r="M221" i="20"/>
  <c r="N176" i="6"/>
  <c r="N178" i="10"/>
  <c r="M229" i="20"/>
  <c r="K228" i="25"/>
  <c r="K223" i="18"/>
  <c r="M230" i="20"/>
  <c r="K230" i="25"/>
  <c r="N178" i="7"/>
  <c r="N59" i="16"/>
  <c r="N72" i="16" s="1"/>
  <c r="N153" i="16" s="1"/>
  <c r="M226" i="14"/>
  <c r="M235" i="2"/>
  <c r="N105" i="10"/>
  <c r="N112" i="10" s="1"/>
  <c r="N113" i="10" s="1"/>
  <c r="M252" i="22"/>
  <c r="K252" i="19"/>
  <c r="M232" i="27"/>
  <c r="L191" i="1"/>
  <c r="N173" i="1"/>
  <c r="N104" i="1"/>
  <c r="N111" i="1" s="1"/>
  <c r="N112" i="1" s="1"/>
  <c r="N173" i="21"/>
  <c r="N175" i="21"/>
  <c r="M230" i="19"/>
  <c r="M222" i="19"/>
  <c r="M228" i="19"/>
  <c r="M224" i="19"/>
  <c r="M232" i="19"/>
  <c r="M227" i="19"/>
  <c r="M226" i="19"/>
  <c r="M223" i="19"/>
  <c r="M227" i="17"/>
  <c r="N104" i="18"/>
  <c r="N111" i="18" s="1"/>
  <c r="N112" i="18" s="1"/>
  <c r="M233" i="18"/>
  <c r="M221" i="18"/>
  <c r="M252" i="18"/>
  <c r="M286" i="22"/>
  <c r="N60" i="12"/>
  <c r="N73" i="12" s="1"/>
  <c r="N154" i="12" s="1"/>
  <c r="K226" i="19"/>
  <c r="K221" i="19"/>
  <c r="K229" i="19"/>
  <c r="M230" i="17"/>
  <c r="N173" i="18"/>
  <c r="M221" i="14"/>
  <c r="M223" i="14"/>
  <c r="M225" i="18"/>
  <c r="M224" i="18"/>
  <c r="M233" i="14"/>
  <c r="M231" i="14"/>
  <c r="M224" i="14"/>
  <c r="K227" i="24"/>
  <c r="K226" i="24"/>
  <c r="N173" i="23"/>
  <c r="K232" i="24"/>
  <c r="M231" i="17"/>
  <c r="M226" i="17"/>
  <c r="K228" i="19"/>
  <c r="K231" i="19"/>
  <c r="M225" i="19"/>
  <c r="M229" i="19"/>
  <c r="N104" i="23"/>
  <c r="N111" i="23" s="1"/>
  <c r="N112" i="23" s="1"/>
  <c r="K253" i="11"/>
  <c r="M224" i="17"/>
  <c r="M221" i="19"/>
  <c r="K270" i="8"/>
  <c r="M232" i="18"/>
  <c r="M227" i="18"/>
  <c r="M222" i="14"/>
  <c r="M229" i="14"/>
  <c r="M227" i="14"/>
  <c r="M236" i="8"/>
  <c r="K229" i="24"/>
  <c r="K228" i="24"/>
  <c r="K225" i="24"/>
  <c r="N175" i="23"/>
  <c r="K224" i="24"/>
  <c r="M225" i="17"/>
  <c r="M221" i="17"/>
  <c r="K230" i="19"/>
  <c r="K225" i="19"/>
  <c r="M224" i="20"/>
  <c r="M235" i="20" s="1"/>
  <c r="M226" i="20"/>
  <c r="M225" i="20"/>
  <c r="M222" i="20"/>
  <c r="M232" i="20"/>
  <c r="M233" i="19"/>
  <c r="M231" i="19"/>
  <c r="M236" i="12"/>
  <c r="K236" i="6"/>
  <c r="K236" i="3"/>
  <c r="K235" i="28"/>
  <c r="M286" i="23"/>
  <c r="K252" i="23"/>
  <c r="K236" i="11"/>
  <c r="M235" i="21"/>
  <c r="K222" i="17"/>
  <c r="K226" i="17"/>
  <c r="K230" i="17"/>
  <c r="M236" i="3"/>
  <c r="K270" i="3"/>
  <c r="M236" i="4"/>
  <c r="K270" i="9"/>
  <c r="M235" i="1"/>
  <c r="M253" i="12"/>
  <c r="M235" i="13"/>
  <c r="M236" i="10"/>
  <c r="N177" i="21"/>
  <c r="L191" i="21"/>
  <c r="N104" i="21"/>
  <c r="N111" i="21" s="1"/>
  <c r="N112" i="21" s="1"/>
  <c r="N177" i="19"/>
  <c r="N173" i="19"/>
  <c r="N175" i="19"/>
  <c r="N174" i="6"/>
  <c r="K227" i="14"/>
  <c r="K231" i="14"/>
  <c r="K223" i="14"/>
  <c r="K286" i="19"/>
  <c r="K225" i="14"/>
  <c r="K270" i="12"/>
  <c r="K236" i="7"/>
  <c r="K232" i="14"/>
  <c r="M286" i="24"/>
  <c r="M236" i="5"/>
  <c r="K233" i="18"/>
  <c r="K229" i="18"/>
  <c r="K235" i="18" s="1"/>
  <c r="K228" i="14"/>
  <c r="K229" i="14"/>
  <c r="N153" i="10"/>
  <c r="N60" i="10"/>
  <c r="N73" i="10" s="1"/>
  <c r="N154" i="10" s="1"/>
  <c r="K286" i="26"/>
  <c r="K286" i="22"/>
  <c r="K236" i="10"/>
  <c r="K233" i="14"/>
  <c r="K230" i="14"/>
  <c r="M222" i="17"/>
  <c r="M228" i="17"/>
  <c r="M229" i="17"/>
  <c r="M232" i="17"/>
  <c r="K224" i="18"/>
  <c r="N152" i="13"/>
  <c r="N59" i="13"/>
  <c r="N72" i="13" s="1"/>
  <c r="N153" i="13" s="1"/>
  <c r="K252" i="15"/>
  <c r="K231" i="16"/>
  <c r="L192" i="6"/>
  <c r="K236" i="9"/>
  <c r="K236" i="12"/>
  <c r="K253" i="12"/>
  <c r="K235" i="1"/>
  <c r="K236" i="4"/>
  <c r="K224" i="14"/>
  <c r="M229" i="18"/>
  <c r="M228" i="18"/>
  <c r="M230" i="18"/>
  <c r="M270" i="11"/>
  <c r="N158" i="46"/>
  <c r="N161" i="46" s="1"/>
  <c r="N158" i="47" s="1"/>
  <c r="N161" i="47" s="1"/>
  <c r="N59" i="15"/>
  <c r="N72" i="15" s="1"/>
  <c r="N153" i="15" s="1"/>
  <c r="N152" i="15"/>
  <c r="M269" i="1"/>
  <c r="L191" i="16"/>
  <c r="N177" i="16"/>
  <c r="N178" i="6"/>
  <c r="N113" i="6"/>
  <c r="N175" i="1"/>
  <c r="N177" i="1"/>
  <c r="K252" i="17"/>
  <c r="M235" i="28"/>
  <c r="M253" i="11"/>
  <c r="M253" i="9"/>
  <c r="M270" i="8"/>
  <c r="M236" i="7"/>
  <c r="L191" i="19"/>
  <c r="N104" i="19"/>
  <c r="N111" i="19" s="1"/>
  <c r="N112" i="19" s="1"/>
  <c r="K286" i="24"/>
  <c r="N177" i="17"/>
  <c r="N175" i="17"/>
  <c r="L191" i="17"/>
  <c r="N104" i="17"/>
  <c r="N111" i="17" s="1"/>
  <c r="N112" i="17" s="1"/>
  <c r="N173" i="17"/>
  <c r="M253" i="10"/>
  <c r="K269" i="2"/>
  <c r="N153" i="9"/>
  <c r="N60" i="9"/>
  <c r="N73" i="9" s="1"/>
  <c r="N154" i="9" s="1"/>
  <c r="K253" i="9"/>
  <c r="M252" i="15"/>
  <c r="K269" i="13"/>
  <c r="M286" i="25"/>
  <c r="K286" i="27"/>
  <c r="K236" i="5"/>
  <c r="M252" i="27"/>
  <c r="K252" i="18"/>
  <c r="M223" i="25"/>
  <c r="M227" i="25"/>
  <c r="M231" i="25"/>
  <c r="M221" i="25"/>
  <c r="M224" i="25"/>
  <c r="M228" i="25"/>
  <c r="M232" i="25"/>
  <c r="M225" i="25"/>
  <c r="M229" i="25"/>
  <c r="M233" i="25"/>
  <c r="M222" i="25"/>
  <c r="M226" i="25"/>
  <c r="M230" i="25"/>
  <c r="K252" i="20"/>
  <c r="N104" i="2"/>
  <c r="N111" i="2" s="1"/>
  <c r="N112" i="2" s="1"/>
  <c r="N175" i="2"/>
  <c r="N177" i="2"/>
  <c r="N173" i="2"/>
  <c r="K252" i="21"/>
  <c r="L191" i="15"/>
  <c r="N175" i="15"/>
  <c r="N104" i="15"/>
  <c r="N111" i="15" s="1"/>
  <c r="N112" i="15" s="1"/>
  <c r="N177" i="15"/>
  <c r="N173" i="15"/>
  <c r="K235" i="22"/>
  <c r="K235" i="21"/>
  <c r="M235" i="22"/>
  <c r="K235" i="23"/>
  <c r="M252" i="14"/>
  <c r="K252" i="24"/>
  <c r="N175" i="14"/>
  <c r="N173" i="14"/>
  <c r="N177" i="14"/>
  <c r="L191" i="14"/>
  <c r="N104" i="14"/>
  <c r="N111" i="14" s="1"/>
  <c r="N112" i="14" s="1"/>
  <c r="N173" i="26"/>
  <c r="N177" i="26"/>
  <c r="N104" i="26"/>
  <c r="N111" i="26" s="1"/>
  <c r="N112" i="26" s="1"/>
  <c r="M252" i="25"/>
  <c r="M286" i="14"/>
  <c r="M253" i="8"/>
  <c r="K253" i="10"/>
  <c r="N173" i="25"/>
  <c r="N104" i="25"/>
  <c r="N111" i="25" s="1"/>
  <c r="N112" i="25" s="1"/>
  <c r="N177" i="25"/>
  <c r="L191" i="25"/>
  <c r="N175" i="25"/>
  <c r="L191" i="27"/>
  <c r="N173" i="27"/>
  <c r="N104" i="27"/>
  <c r="N111" i="27" s="1"/>
  <c r="N112" i="27" s="1"/>
  <c r="N175" i="27"/>
  <c r="N177" i="27"/>
  <c r="N105" i="4"/>
  <c r="N112" i="4" s="1"/>
  <c r="N113" i="4" s="1"/>
  <c r="N176" i="4"/>
  <c r="N178" i="4"/>
  <c r="L192" i="4"/>
  <c r="N174" i="4"/>
  <c r="N152" i="23"/>
  <c r="N59" i="23"/>
  <c r="N72" i="23" s="1"/>
  <c r="N153" i="23" s="1"/>
  <c r="N60" i="1"/>
  <c r="N73" i="1" s="1"/>
  <c r="N153" i="1" s="1"/>
  <c r="N152" i="1"/>
  <c r="K235" i="20"/>
  <c r="M286" i="17"/>
  <c r="N60" i="3"/>
  <c r="N73" i="3" s="1"/>
  <c r="N154" i="3" s="1"/>
  <c r="N153" i="3"/>
  <c r="N178" i="5"/>
  <c r="N176" i="5"/>
  <c r="N174" i="5"/>
  <c r="L192" i="5"/>
  <c r="K269" i="1"/>
  <c r="M235" i="26"/>
  <c r="M235" i="24"/>
  <c r="N177" i="22"/>
  <c r="L191" i="22"/>
  <c r="N175" i="22"/>
  <c r="N173" i="22"/>
  <c r="N104" i="22"/>
  <c r="N111" i="22" s="1"/>
  <c r="N112" i="22" s="1"/>
  <c r="K223" i="27"/>
  <c r="K231" i="27"/>
  <c r="K226" i="27"/>
  <c r="K221" i="27"/>
  <c r="K229" i="27"/>
  <c r="K225" i="27"/>
  <c r="K233" i="27"/>
  <c r="K228" i="27"/>
  <c r="K227" i="27"/>
  <c r="K230" i="27"/>
  <c r="K224" i="27"/>
  <c r="K222" i="27"/>
  <c r="K232" i="27"/>
  <c r="N174" i="11"/>
  <c r="N105" i="11"/>
  <c r="N112" i="11" s="1"/>
  <c r="N113" i="11" s="1"/>
  <c r="L192" i="11"/>
  <c r="N178" i="11"/>
  <c r="N176" i="11"/>
  <c r="K235" i="13"/>
  <c r="M236" i="6"/>
  <c r="K252" i="22"/>
  <c r="K252" i="25"/>
  <c r="M252" i="26"/>
  <c r="N175" i="26"/>
  <c r="K286" i="18"/>
  <c r="N105" i="5"/>
  <c r="N112" i="5" s="1"/>
  <c r="N113" i="5" s="1"/>
  <c r="M226" i="16"/>
  <c r="K223" i="26"/>
  <c r="K231" i="26"/>
  <c r="K226" i="26"/>
  <c r="K221" i="26"/>
  <c r="K232" i="26"/>
  <c r="K225" i="26"/>
  <c r="K233" i="26"/>
  <c r="K228" i="26"/>
  <c r="K222" i="26"/>
  <c r="K229" i="26"/>
  <c r="K227" i="26"/>
  <c r="K230" i="26"/>
  <c r="K224" i="26"/>
  <c r="N173" i="24"/>
  <c r="L191" i="24"/>
  <c r="N104" i="24"/>
  <c r="N111" i="24" s="1"/>
  <c r="N112" i="24" s="1"/>
  <c r="N175" i="24"/>
  <c r="N177" i="24"/>
  <c r="N153" i="7"/>
  <c r="N60" i="7"/>
  <c r="N73" i="7" s="1"/>
  <c r="N154" i="7" s="1"/>
  <c r="N59" i="19"/>
  <c r="N72" i="19" s="1"/>
  <c r="N153" i="19" s="1"/>
  <c r="N152" i="19"/>
  <c r="N60" i="4"/>
  <c r="N73" i="4" s="1"/>
  <c r="N154" i="4" s="1"/>
  <c r="N153" i="4"/>
  <c r="K235" i="2"/>
  <c r="K225" i="25"/>
  <c r="K223" i="25"/>
  <c r="K229" i="25"/>
  <c r="K224" i="25"/>
  <c r="K227" i="25"/>
  <c r="K232" i="25"/>
  <c r="K233" i="25"/>
  <c r="K223" i="15"/>
  <c r="K221" i="15"/>
  <c r="K227" i="15"/>
  <c r="K233" i="15"/>
  <c r="K232" i="15"/>
  <c r="K229" i="15"/>
  <c r="K231" i="15"/>
  <c r="K224" i="15"/>
  <c r="K228" i="15"/>
  <c r="K225" i="15"/>
  <c r="N168" i="2"/>
  <c r="M235" i="23"/>
  <c r="K252" i="16"/>
  <c r="K222" i="15"/>
  <c r="M225" i="15"/>
  <c r="N152" i="24"/>
  <c r="N59" i="24"/>
  <c r="N72" i="24" s="1"/>
  <c r="N153" i="24" s="1"/>
  <c r="K252" i="26"/>
  <c r="M252" i="20"/>
  <c r="N152" i="18"/>
  <c r="N59" i="18"/>
  <c r="N72" i="18" s="1"/>
  <c r="N153" i="18" s="1"/>
  <c r="M286" i="15"/>
  <c r="M236" i="11"/>
  <c r="K229" i="16"/>
  <c r="K230" i="16"/>
  <c r="K222" i="16"/>
  <c r="K227" i="16"/>
  <c r="K224" i="16"/>
  <c r="K225" i="16"/>
  <c r="K221" i="16"/>
  <c r="K228" i="16"/>
  <c r="K233" i="16"/>
  <c r="K223" i="16"/>
  <c r="K226" i="16"/>
  <c r="L192" i="3"/>
  <c r="N178" i="3"/>
  <c r="N174" i="3"/>
  <c r="N105" i="3"/>
  <c r="N112" i="3" s="1"/>
  <c r="N113" i="3" s="1"/>
  <c r="N176" i="3"/>
  <c r="M221" i="16"/>
  <c r="M223" i="16"/>
  <c r="M229" i="16"/>
  <c r="M231" i="16"/>
  <c r="M232" i="16"/>
  <c r="M227" i="16"/>
  <c r="M224" i="16"/>
  <c r="M228" i="16"/>
  <c r="M233" i="16"/>
  <c r="M225" i="16"/>
  <c r="K226" i="15"/>
  <c r="N153" i="8"/>
  <c r="N60" i="8"/>
  <c r="N73" i="8" s="1"/>
  <c r="N154" i="8" s="1"/>
  <c r="L169" i="3"/>
  <c r="N167" i="3"/>
  <c r="K253" i="8"/>
  <c r="M228" i="15"/>
  <c r="M226" i="15"/>
  <c r="M230" i="15"/>
  <c r="M233" i="15"/>
  <c r="M222" i="15"/>
  <c r="M223" i="15"/>
  <c r="M231" i="15"/>
  <c r="M227" i="15"/>
  <c r="M224" i="15"/>
  <c r="M221" i="15"/>
  <c r="N111" i="28"/>
  <c r="N112" i="28" s="1"/>
  <c r="K252" i="27"/>
  <c r="K270" i="11"/>
  <c r="M222" i="16"/>
  <c r="K230" i="15"/>
  <c r="M232" i="15"/>
  <c r="K236" i="8"/>
  <c r="M235" i="18"/>
  <c r="M286" i="27"/>
  <c r="M235" i="27" l="1"/>
  <c r="N158" i="48"/>
  <c r="N161" i="48" s="1"/>
  <c r="N163" i="49"/>
  <c r="K235" i="14"/>
  <c r="K235" i="17"/>
  <c r="M235" i="17"/>
  <c r="K235" i="24"/>
  <c r="M235" i="14"/>
  <c r="M235" i="19"/>
  <c r="K235" i="19"/>
  <c r="K235" i="25"/>
  <c r="M235" i="25"/>
  <c r="K235" i="26"/>
  <c r="K235" i="27"/>
  <c r="M235" i="15"/>
  <c r="M235" i="16"/>
  <c r="K235" i="16"/>
  <c r="K235" i="15"/>
  <c r="N169" i="3"/>
  <c r="L167" i="4"/>
  <c r="L169" i="4" l="1"/>
  <c r="N167" i="4"/>
  <c r="N169" i="4" l="1"/>
  <c r="L167" i="5"/>
  <c r="N167" i="5" l="1"/>
  <c r="L169" i="5"/>
  <c r="L167" i="6" l="1"/>
  <c r="N169" i="5"/>
  <c r="N167" i="6" l="1"/>
  <c r="L169" i="6"/>
  <c r="L167" i="7" l="1"/>
  <c r="N169" i="6"/>
  <c r="N167" i="7" l="1"/>
  <c r="L169" i="7"/>
  <c r="L167" i="8" l="1"/>
  <c r="N169" i="7"/>
  <c r="L169" i="8" l="1"/>
  <c r="N167" i="8"/>
  <c r="L167" i="9" l="1"/>
  <c r="N169" i="8"/>
  <c r="N167" i="9" l="1"/>
  <c r="L169" i="9"/>
  <c r="L167" i="10" l="1"/>
  <c r="N169" i="9"/>
  <c r="L169" i="10" l="1"/>
  <c r="N167" i="10"/>
  <c r="L167" i="11" l="1"/>
  <c r="N169" i="10"/>
  <c r="N167" i="11" l="1"/>
  <c r="L169" i="11"/>
  <c r="L167" i="12" l="1"/>
  <c r="N169" i="11"/>
  <c r="L169" i="12" l="1"/>
  <c r="N167" i="12"/>
  <c r="L166" i="13" l="1"/>
  <c r="N169" i="12"/>
  <c r="N166" i="13" l="1"/>
  <c r="L168" i="13"/>
  <c r="L166" i="14" l="1"/>
  <c r="N168" i="13"/>
  <c r="N166" i="14" l="1"/>
  <c r="L168" i="14"/>
  <c r="L166" i="15" l="1"/>
  <c r="N168" i="14"/>
  <c r="N166" i="15" l="1"/>
  <c r="L168" i="15"/>
  <c r="L166" i="16" l="1"/>
  <c r="N168" i="15"/>
  <c r="L168" i="16" l="1"/>
  <c r="N166" i="16"/>
  <c r="L166" i="17" l="1"/>
  <c r="N168" i="16"/>
  <c r="N166" i="17" l="1"/>
  <c r="L168" i="17"/>
  <c r="L166" i="18" l="1"/>
  <c r="N168" i="17"/>
  <c r="N166" i="18" l="1"/>
  <c r="L168" i="18"/>
  <c r="L166" i="19" l="1"/>
  <c r="N168" i="18"/>
  <c r="N166" i="19" l="1"/>
  <c r="L168" i="19"/>
  <c r="L166" i="20" l="1"/>
  <c r="N168" i="19"/>
  <c r="N166" i="20" l="1"/>
  <c r="L168" i="20"/>
  <c r="L166" i="21" l="1"/>
  <c r="N168" i="20"/>
  <c r="N166" i="21" l="1"/>
  <c r="L168" i="21"/>
  <c r="L166" i="22" l="1"/>
  <c r="N168" i="21"/>
  <c r="N166" i="22" l="1"/>
  <c r="L168" i="22"/>
  <c r="L166" i="23" l="1"/>
  <c r="N168" i="22"/>
  <c r="N166" i="23" l="1"/>
  <c r="L168" i="23"/>
  <c r="L166" i="24" l="1"/>
  <c r="N168" i="23"/>
  <c r="N166" i="24" l="1"/>
  <c r="L168" i="24"/>
  <c r="L166" i="25" l="1"/>
  <c r="N168" i="24"/>
  <c r="N166" i="25" l="1"/>
  <c r="L168" i="25"/>
  <c r="N168" i="25" l="1"/>
  <c r="L166" i="26"/>
  <c r="N166" i="26" l="1"/>
  <c r="L168" i="26"/>
  <c r="N168" i="26" l="1"/>
  <c r="L166" i="27"/>
  <c r="L168" i="27" l="1"/>
  <c r="N166" i="27"/>
  <c r="L166" i="28" l="1"/>
  <c r="N168" i="27"/>
  <c r="N166" i="28" l="1"/>
  <c r="L168" i="28"/>
  <c r="L166" i="29" l="1"/>
  <c r="N168" i="28"/>
  <c r="N166" i="29" l="1"/>
  <c r="L168" i="29"/>
  <c r="L166" i="30" l="1"/>
  <c r="N168" i="29"/>
  <c r="N166" i="30" l="1"/>
  <c r="L168" i="30"/>
  <c r="N168" i="30" l="1"/>
  <c r="L166" i="31"/>
  <c r="N166" i="31" l="1"/>
  <c r="L168" i="31"/>
  <c r="N168" i="31" l="1"/>
  <c r="L166" i="32"/>
  <c r="N166" i="32" l="1"/>
  <c r="L168" i="32"/>
  <c r="N168" i="32" l="1"/>
  <c r="L166" i="33"/>
  <c r="L168" i="33" l="1"/>
  <c r="N166" i="33"/>
  <c r="N168" i="33" l="1"/>
  <c r="L166" i="34"/>
  <c r="N166" i="34" l="1"/>
  <c r="L168" i="34"/>
  <c r="N168" i="34" l="1"/>
  <c r="L166" i="35"/>
  <c r="N166" i="35" l="1"/>
  <c r="L168" i="35"/>
  <c r="N168" i="35" l="1"/>
  <c r="L166" i="36"/>
  <c r="N166" i="36" l="1"/>
  <c r="L168" i="36"/>
  <c r="N168" i="36" l="1"/>
  <c r="L166" i="37"/>
  <c r="N166" i="37" l="1"/>
  <c r="L168" i="37"/>
  <c r="L166" i="38" l="1"/>
  <c r="N168" i="37"/>
  <c r="L168" i="38" l="1"/>
  <c r="N166" i="38"/>
  <c r="N168" i="38" l="1"/>
  <c r="L166" i="39"/>
  <c r="L168" i="39" l="1"/>
  <c r="N166" i="39"/>
  <c r="L166" i="40" l="1"/>
  <c r="N168" i="39"/>
  <c r="L168" i="40" l="1"/>
  <c r="N166" i="40"/>
  <c r="L166" i="41" l="1"/>
  <c r="N168" i="40"/>
  <c r="N166" i="41" l="1"/>
  <c r="L168" i="41"/>
  <c r="L166" i="42" l="1"/>
  <c r="N168" i="41"/>
  <c r="L168" i="42" l="1"/>
  <c r="N166" i="42"/>
  <c r="L166" i="43" l="1"/>
  <c r="N168" i="42"/>
  <c r="N166" i="43" l="1"/>
  <c r="L168" i="43"/>
  <c r="N168" i="43" l="1"/>
  <c r="L166" i="44"/>
  <c r="L168" i="44" l="1"/>
  <c r="N166" i="44"/>
  <c r="L166" i="45" l="1"/>
  <c r="N168" i="44"/>
  <c r="N166" i="45" l="1"/>
  <c r="L168" i="45"/>
  <c r="L166" i="46" l="1"/>
  <c r="N168" i="45"/>
  <c r="L168" i="46" l="1"/>
  <c r="N166" i="46"/>
  <c r="L166" i="47" l="1"/>
  <c r="N168" i="46"/>
  <c r="L168" i="47" l="1"/>
  <c r="N166" i="47"/>
  <c r="N168" i="47" l="1"/>
  <c r="L166" i="48"/>
  <c r="N166" i="48" l="1"/>
  <c r="L168" i="48"/>
  <c r="N168" i="48" l="1"/>
  <c r="L168" i="49"/>
  <c r="L170" i="49" l="1"/>
  <c r="N170" i="49" s="1"/>
  <c r="N168" i="49"/>
</calcChain>
</file>

<file path=xl/sharedStrings.xml><?xml version="1.0" encoding="utf-8"?>
<sst xmlns="http://schemas.openxmlformats.org/spreadsheetml/2006/main" count="15908" uniqueCount="306">
  <si>
    <t>Summary Transaction  Features</t>
  </si>
  <si>
    <t>Name of Issuer</t>
  </si>
  <si>
    <t>Originator % at Closing</t>
  </si>
  <si>
    <t xml:space="preserve">Originator % at the Quarter End </t>
  </si>
  <si>
    <t>Date of Issue</t>
  </si>
  <si>
    <t>Date of Production</t>
  </si>
  <si>
    <t>Security Level Data</t>
  </si>
  <si>
    <t>Standard &amp; Poor's Rating at Closing</t>
  </si>
  <si>
    <t>ISIN</t>
  </si>
  <si>
    <t xml:space="preserve">Note Interest Margins: </t>
  </si>
  <si>
    <t>Current Note Interest Rates:</t>
  </si>
  <si>
    <t>Previous Note Interest Rates:</t>
  </si>
  <si>
    <t>Optional Redemption (Call) Dates</t>
  </si>
  <si>
    <t>Step-up Dates</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</si>
  <si>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</si>
  <si>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</si>
  <si>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</si>
  <si>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</si>
  <si>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</si>
  <si>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</si>
  <si>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</si>
  <si>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</si>
  <si>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</si>
  <si>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</si>
  <si>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</si>
  <si>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</si>
  <si>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</si>
  <si>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</si>
  <si>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</si>
  <si>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</si>
  <si>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</si>
  <si>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</si>
  <si>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</si>
  <si>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Third Party payments for Corporation Tax and VAT</t>
  </si>
  <si>
    <t>Cap/Swap Retention fund</t>
  </si>
  <si>
    <t>Principal payments made from Principal Income:</t>
  </si>
  <si>
    <t>Total payments to be made this quarter</t>
  </si>
  <si>
    <t>Total closing cash balance</t>
  </si>
  <si>
    <t>Available Credit Enhancement</t>
  </si>
  <si>
    <t>First Loss Fund Analysis</t>
  </si>
  <si>
    <t>First Loss Fund at Closing</t>
  </si>
  <si>
    <t>Last Quarter closing First Loss Fund balance</t>
  </si>
  <si>
    <t>PDL Replenishment</t>
  </si>
  <si>
    <t>Closing First Loss Fund Balance</t>
  </si>
  <si>
    <t>Requirement</t>
  </si>
  <si>
    <t>Build up - prior periods</t>
  </si>
  <si>
    <t>Build up - this period</t>
  </si>
  <si>
    <t>Requirement Outstanding</t>
  </si>
  <si>
    <t>Principal Deficiency Ledger (PDL)</t>
  </si>
  <si>
    <t>Opening PDL Balance</t>
  </si>
  <si>
    <t>Losses this quarter</t>
  </si>
  <si>
    <t>Total PDL balance</t>
  </si>
  <si>
    <t>Closing PDL Balance</t>
  </si>
  <si>
    <t>Over Collateralisation</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</si>
  <si>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</si>
  <si>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</si>
  <si>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</si>
  <si>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</si>
  <si>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</si>
  <si>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</si>
  <si>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</si>
  <si>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</si>
  <si>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</si>
  <si>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</si>
  <si>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</si>
  <si>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</si>
  <si>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</si>
  <si>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</si>
  <si>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</si>
  <si>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</si>
  <si>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</si>
  <si>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</si>
  <si>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</si>
  <si>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</si>
  <si>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</si>
  <si>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</si>
  <si>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</si>
  <si>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</si>
  <si>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Aggregate Principal Balance of Repurchased Loans</t>
  </si>
  <si>
    <t>Aggregate Balance of Substituted Loans</t>
  </si>
  <si>
    <t>Principal Losses</t>
  </si>
  <si>
    <t>Agg Loan Principal Losses (during related Collection Period)</t>
  </si>
  <si>
    <t>Cumulative Principal Losses (since closing date)</t>
  </si>
  <si>
    <t>Average Number of months in Arrears @ Redemption date</t>
  </si>
  <si>
    <t>Average months between Possession &amp; Redemption</t>
  </si>
  <si>
    <t>Performing</t>
  </si>
  <si>
    <t>&gt;1&lt;=2 Months</t>
  </si>
  <si>
    <t>&gt;2&lt;=3 Months</t>
  </si>
  <si>
    <t>Contact Name/Address</t>
  </si>
  <si>
    <t>John Harvey, St. Catherines Court, Herbert Road, Solihull, West Midlands, B91 3QE</t>
  </si>
  <si>
    <t>Jimmy Giles, St. Catherines Court, Herbert Road, Solihull, West Midlands, B91 3QE</t>
  </si>
  <si>
    <t>As at Closing</t>
  </si>
  <si>
    <t>PDD =</t>
  </si>
  <si>
    <t>Last Quarter Balance</t>
  </si>
  <si>
    <t>Tel.</t>
  </si>
  <si>
    <t>This Quarter Redemptions and Repayments</t>
  </si>
  <si>
    <t>E-mail</t>
  </si>
  <si>
    <t>Additions this quarter</t>
  </si>
  <si>
    <t>DFA's</t>
  </si>
  <si>
    <t>No.</t>
  </si>
  <si>
    <t>%</t>
  </si>
  <si>
    <t>PML</t>
  </si>
  <si>
    <t>Senior/Subordinate</t>
  </si>
  <si>
    <t>Class A Notes</t>
  </si>
  <si>
    <t>Repurchases this quarter</t>
  </si>
  <si>
    <t>Principal (£'000)</t>
  </si>
  <si>
    <t>£'000 Value</t>
  </si>
  <si>
    <t>n/a</t>
  </si>
  <si>
    <t>£'000 Principal</t>
  </si>
  <si>
    <t>=</t>
  </si>
  <si>
    <t>years</t>
  </si>
  <si>
    <t>Quarterly</t>
  </si>
  <si>
    <t>Current Principal Outstanding</t>
  </si>
  <si>
    <t>Revenue (£'000)</t>
  </si>
  <si>
    <t>Total</t>
  </si>
  <si>
    <t>x</t>
  </si>
  <si>
    <t>Payments to Swap Counterparty</t>
  </si>
  <si>
    <t>N/A</t>
  </si>
  <si>
    <t>Note Step-Up Margins</t>
  </si>
  <si>
    <t>Previous Quarterly Interest Period (No. of Days)</t>
  </si>
  <si>
    <t>Current Quarterly Interest Period (No. of Days)</t>
  </si>
  <si>
    <t>First Loss Fund Replenishment</t>
  </si>
  <si>
    <t>Surplus income to the Issuer</t>
  </si>
  <si>
    <t>4 (a)</t>
  </si>
  <si>
    <t>4 (b)</t>
  </si>
  <si>
    <t>Replenishments from excess Revenue cash</t>
  </si>
  <si>
    <t>Current Pool Factor</t>
  </si>
  <si>
    <t>Previous Pool Factor</t>
  </si>
  <si>
    <t xml:space="preserve">Previous Outstanding Note Principal </t>
  </si>
  <si>
    <t>Original Issue Amount ('000)</t>
  </si>
  <si>
    <t xml:space="preserve">Current Outstanding Note Principal </t>
  </si>
  <si>
    <t>First Loss Fund Drawings</t>
  </si>
  <si>
    <t>Drawings this quarter to fund</t>
  </si>
  <si>
    <t>MTL</t>
  </si>
  <si>
    <t>AAA</t>
  </si>
  <si>
    <t>A</t>
  </si>
  <si>
    <t>Appointment of a Receiver of Rent</t>
  </si>
  <si>
    <t>+44 (0) 121 712 2315</t>
  </si>
  <si>
    <t>+44 (0) 121 712 3894</t>
  </si>
  <si>
    <t xml:space="preserve">Junior Administration Fee to PFPLC and MTS </t>
  </si>
  <si>
    <t>4 (c)</t>
  </si>
  <si>
    <t>john.harvey@paragon-group.co.uk</t>
  </si>
  <si>
    <t>jimmy.giles@paragon-group.co.uk</t>
  </si>
  <si>
    <t>ACTUAL/365</t>
  </si>
  <si>
    <t>Facility at Closing</t>
  </si>
  <si>
    <t>&gt;3&lt;=4 Months</t>
  </si>
  <si>
    <t>&gt;4&lt;=5 Months</t>
  </si>
  <si>
    <t>&gt;5&lt;=6 Months</t>
  </si>
  <si>
    <t>Funding of MTL payment holidays</t>
  </si>
  <si>
    <t>Delinquency Summary (Excluding Receiver of Rent and Possession Cases)</t>
  </si>
  <si>
    <t>Delinquency Summary (For Possession Cases)</t>
  </si>
  <si>
    <t>Total Assets</t>
  </si>
  <si>
    <t>AA</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</si>
  <si>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</si>
  <si>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</si>
  <si>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</si>
  <si>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Class B and C Notes as a percentage Class A Notes at issue</t>
  </si>
  <si>
    <t>Outstanding Class B and C Notes as a percentage of Outstanding Class A Notes</t>
  </si>
  <si>
    <t>Determination Event for Paying Class B and C Notes</t>
  </si>
  <si>
    <t>Drawings used to fund Mandatory Further Advances during the period</t>
  </si>
  <si>
    <t>PML Mandatory Further Advances</t>
  </si>
  <si>
    <t>MTL Mandatory Further Advances</t>
  </si>
  <si>
    <t>Fitch Rating at Closing</t>
  </si>
  <si>
    <t>Current Standard &amp; Poor's Rating</t>
  </si>
  <si>
    <t>Current Fitch Rating</t>
  </si>
  <si>
    <t xml:space="preserve"> </t>
  </si>
  <si>
    <t>Cover Ratio for Class C Notes (at last Interest Payment Date)</t>
  </si>
  <si>
    <t xml:space="preserve">Cover Ratio for Class C Notes (cumulative) </t>
  </si>
  <si>
    <t>Quarterly Interest Payment Date</t>
  </si>
  <si>
    <t>5 (a)</t>
  </si>
  <si>
    <t>6 (a)</t>
  </si>
  <si>
    <t>Stated Maturity - Class A Notes</t>
  </si>
  <si>
    <t>Stated Maturity - Class B Notes</t>
  </si>
  <si>
    <t>Stated Maturity - Class C Notes</t>
  </si>
  <si>
    <t>Redemption Income</t>
  </si>
  <si>
    <t>Investment Income</t>
  </si>
  <si>
    <t>Quarterly Interest Income</t>
  </si>
  <si>
    <t>Receiver of Rent Properties Sold</t>
  </si>
  <si>
    <t>Average Number of months in Arrears @ Sale date</t>
  </si>
  <si>
    <t>Flexile Drawing Facilty</t>
  </si>
  <si>
    <t>Payments to Flexible Drawing Facility Provider's commitment Fee and interest</t>
  </si>
  <si>
    <t>Subordinated Payments to the Flexible Drawing Facility Provider</t>
  </si>
  <si>
    <t>Termination Fees to the Swap Providers</t>
  </si>
  <si>
    <t>Closing Flexible Drawing Facility balance</t>
  </si>
  <si>
    <t>First Flexible (No.7) PLC</t>
  </si>
  <si>
    <t>This performance report is issued by Paragon Finance PLC for and on behalf of First Flexible (No.7) PLC</t>
  </si>
  <si>
    <t>FF7 PLC</t>
  </si>
  <si>
    <t xml:space="preserve">Reference should be made to the issued documentation for a full description of the bonds and their structure. This data fact sheet and its notes are for information purposes only and are not intended as an offer or invitation with respect </t>
  </si>
  <si>
    <t xml:space="preserve">to the purchase or sale of any security. Reliance should not be placed on the information herein when making any decision whether to buy, hold or sell bonds (or other securities) or for any other purpose. </t>
  </si>
  <si>
    <t>Class B Notes</t>
  </si>
  <si>
    <t>Class C Notes</t>
  </si>
  <si>
    <t>FF7 INVESTOR REPORT QUARTER ENDING MAY 2007</t>
  </si>
  <si>
    <t>12 bp</t>
  </si>
  <si>
    <t>24 bp</t>
  </si>
  <si>
    <t>18 bp</t>
  </si>
  <si>
    <t>36 bp</t>
  </si>
  <si>
    <t>28 bp</t>
  </si>
  <si>
    <t>56 bp</t>
  </si>
  <si>
    <t>Class A, B and C Interest Payment Cycle</t>
  </si>
  <si>
    <t>Class A, B and C Interest Calculated on</t>
  </si>
  <si>
    <t>A Note repayment</t>
  </si>
  <si>
    <t>B Note repayment</t>
  </si>
  <si>
    <t>C Note repayment</t>
  </si>
  <si>
    <t>Total Income as a % of the Total Assets</t>
  </si>
  <si>
    <t>Delinquency Summary (For Receiver of Rent Cases)</t>
  </si>
  <si>
    <t>Pre Closing Arrears</t>
  </si>
  <si>
    <t>Opening Balance</t>
  </si>
  <si>
    <t>Collection of Pre Closing Arrears during the period</t>
  </si>
  <si>
    <t>Write Off of Pre Closing Arrears during the period</t>
  </si>
  <si>
    <t>Pre Closing Arrears and Interest Sold to Issuer (£'000)</t>
  </si>
  <si>
    <t>Overfunding</t>
  </si>
  <si>
    <t xml:space="preserve">Drawing on the PFPLC/MTS/FF7 Subordinated Loan for Interest Shortfalls </t>
  </si>
  <si>
    <t>Current Weighted Average Note Coupon</t>
  </si>
  <si>
    <t>Original Weighted Average Note Coupon</t>
  </si>
  <si>
    <t>A Note Interest</t>
  </si>
  <si>
    <t>B Note Interest</t>
  </si>
  <si>
    <t>C Note Interest</t>
  </si>
  <si>
    <t>Closing Balance</t>
  </si>
  <si>
    <t>XS0282470797</t>
  </si>
  <si>
    <t>XS0282471092</t>
  </si>
  <si>
    <t>XS0282471175</t>
  </si>
  <si>
    <t xml:space="preserve">A Note Interest </t>
  </si>
  <si>
    <t xml:space="preserve">B Note Interest </t>
  </si>
  <si>
    <t xml:space="preserve">C Note Interest </t>
  </si>
  <si>
    <t>Trustee Fee</t>
  </si>
  <si>
    <t>Replenishments from drawings on the FF7/PFPLC/MTS Subordinated Loan</t>
  </si>
  <si>
    <t>MFA's</t>
  </si>
  <si>
    <t>&gt;6&lt;=9 Months</t>
  </si>
  <si>
    <t>&gt;9&lt;=12 Months</t>
  </si>
  <si>
    <t>&gt;12&lt;=15 Months</t>
  </si>
  <si>
    <t>&gt;15&lt;=18 Months</t>
  </si>
  <si>
    <t>&gt;18&lt;=21 Months</t>
  </si>
  <si>
    <t>&gt;21&lt;=24 Months</t>
  </si>
  <si>
    <t>&gt;24 Months</t>
  </si>
  <si>
    <t>Current Principal Balance Outstanding  (£'000)</t>
  </si>
  <si>
    <t>Senior Administration Fee to PFPLC and MTS/ Out of pocket expenses/ Substitute Administrators Commitment Fee/ Retention of interest on Class A &amp; B Notes</t>
  </si>
  <si>
    <t>FF7 INVESTOR REPORT QUARTER ENDING AUGUST 2007</t>
  </si>
  <si>
    <t>SUMMARY SECTIONS POSTED ON THE PARAGON WEBSITE</t>
  </si>
  <si>
    <t xml:space="preserve">FOR ADDITIONAL INFORMATION ON THE UNDERLYING ASSETS, PLEASE REFER TO THE "POOL TABLES" AND  </t>
  </si>
  <si>
    <t>Andrew Kitching, St. Catherines Court, Herbert Road, Solihull, West Midlands, B91 3QE</t>
  </si>
  <si>
    <t>+44 (0) 121 712 3896</t>
  </si>
  <si>
    <t>andrew.kitching@paragon-group.co.uk</t>
  </si>
  <si>
    <t>FF7 INVESTOR REPORT QUARTER ENDING NOVEMBER 2007</t>
  </si>
  <si>
    <t>N.B. This data fact sheet and its notes can only be a summary of certain features of the bonds and their structure. No representation can be made that the information herein is accurate or complete and no liability is accepted therefor.</t>
  </si>
  <si>
    <t>Accrusal from Revenue for potential Losses</t>
  </si>
  <si>
    <t>FF7 INVESTOR REPORT QUARTER ENDING FEBRUARY 2008</t>
  </si>
  <si>
    <t>FF7 INVESTOR REPORT QUARTER ENDING MAY 2008</t>
  </si>
  <si>
    <t>FF7 INVESTOR REPORT QUARTER ENDING AUG 2008</t>
  </si>
  <si>
    <t>FF7 INVESTOR REPORT QUARTER ENDING NOVEMBER 2008</t>
  </si>
  <si>
    <t>FF7 INVESTOR REPORT QUARTER ENDING FEBRUARY 2009</t>
  </si>
  <si>
    <t>Properties Sold by Mortgagee - Outstanding Principal Balance</t>
  </si>
  <si>
    <t>FF7 INVESTOR REPORT QUARTER ENDING MAY 2009</t>
  </si>
  <si>
    <t>FF7 INVESTOR REPORT QUARTER ENDING AUGUST 2009</t>
  </si>
  <si>
    <t>Possession Properties Sold</t>
  </si>
  <si>
    <t>FF7 INVESTOR REPORT QUARTER ENDING NOVEMBER 2009</t>
  </si>
  <si>
    <t>FF7 INVESTOR REPORT QUARTER ENDING FEBRUARY 2010</t>
  </si>
  <si>
    <t>FF7 INVESTOR REPORT QUARTER ENDING MAY 2010</t>
  </si>
  <si>
    <t>FF7 INVESTOR REPORT QUARTER ENDING AUGUST 2010</t>
  </si>
  <si>
    <t xml:space="preserve">Delinquency Summary </t>
  </si>
  <si>
    <t>FF7 INVESTOR REPORT QUARTER ENDING NOVEMBER 2010</t>
  </si>
  <si>
    <t>FF7 INVESTOR REPORT QUARTER ENDING FEBRUARY 2011</t>
  </si>
  <si>
    <t>FF7 INVESTOR REPORT QUARTER ENDING MAY 2011</t>
  </si>
  <si>
    <t>FF7 INVESTOR REPORT QUARTER ENDING AUGUST 2011</t>
  </si>
  <si>
    <t>FF7 INVESTOR REPORT QUARTER ENDING NOVEMBER 2011</t>
  </si>
  <si>
    <t>PDL replenishment (-) from Revenue income / Recovery (+) to Revenue income</t>
  </si>
  <si>
    <t>FF7 INVESTOR REPORT QUARTER ENDING FEBRUARY 2012</t>
  </si>
  <si>
    <t>FF7 INVESTOR REPORT QUARTER ENDING MAY 2012</t>
  </si>
  <si>
    <t>B-</t>
  </si>
  <si>
    <t>FF7 INVESTOR REPORT QUARTER ENDING AUGUST 2012</t>
  </si>
  <si>
    <t>FF7 INVESTOR REPORT QUARTER ENDING NOVEMBER 2012</t>
  </si>
  <si>
    <t>FF7 INVESTOR REPORT QUARTER ENDING FEBRUARY 2013</t>
  </si>
  <si>
    <t>FF7 INVESTOR REPORT QUARTER ENDING MAY 2013</t>
  </si>
  <si>
    <t>John Harvey, 51 Homer Road, Solihull, West Midlands, B91 3QJ</t>
  </si>
  <si>
    <t>Andrew Kitching, 51 Homer Road, Solihull, West Midlands, B91 3QJ</t>
  </si>
  <si>
    <t>Jimmy Giles, 51 Homer Road, Solihull, West Midlands, B91 3QJ</t>
  </si>
  <si>
    <t>FF7 INVESTOR REPORT QUARTER ENDING AUGUST 2013</t>
  </si>
  <si>
    <t>FF7 INVESTOR REPORT QUARTER ENDING NOVEMBER 2013</t>
  </si>
  <si>
    <t>FF7 INVESTOR REPORT QUARTER ENDING FEBRUARY 2014</t>
  </si>
  <si>
    <t>Closing Flexible Drawing Facility balance (with effect from 17th March 2014)</t>
  </si>
  <si>
    <t>FF7 INVESTOR REPORT QUARTER ENDING MAY 2014</t>
  </si>
  <si>
    <t>FF7 INVESTOR REPORT QUARTER ENDING AUGUST 2014</t>
  </si>
  <si>
    <t>FF7 INVESTOR REPORT QUARTER ENDING NOVEMBER 2014</t>
  </si>
  <si>
    <t>FF7 INVESTOR REPORT QUARTER ENDING FEBRUARY 2015</t>
  </si>
  <si>
    <t>FF7 INVESTOR REPORT QUARTER ENDING MAY 2015</t>
  </si>
  <si>
    <t>FF7 INVESTOR REPORT QUARTER ENDING AUGUST 2015</t>
  </si>
  <si>
    <t>FF7 INVESTOR REPORT QUARTER ENDING NOVEMBER 2015</t>
  </si>
  <si>
    <t>FF7 INVESTOR REPORT QUARTER ENDING FEBRUARY 2016</t>
  </si>
  <si>
    <t>FF7 INVESTOR REPORT QUARTER ENDING MAY 2016</t>
  </si>
  <si>
    <t>FF7 INVESTOR REPORT QUARTER ENDING AUGUST 2016</t>
  </si>
  <si>
    <t>FF7 INVESTOR REPORT QUARTER ENDING NOVEMBER 2016</t>
  </si>
  <si>
    <t>FF7 INVESTOR REPORT QUARTER ENDING FEBRUARY 2017</t>
  </si>
  <si>
    <t>FF7 INVESTOR REPORT QUARTER ENDING MAY 2017</t>
  </si>
  <si>
    <t>FF7 INVESTOR REPORT QUARTER ENDING AUGUST 2017</t>
  </si>
  <si>
    <t>http://www.paragonbankinggroup.co.uk</t>
  </si>
  <si>
    <t>FOR ADDITIONAL INFORMATION ON THE UNDERLYING ASSETS, PLEASE REFER TO THE "POOL TABLES" AND  "SUMMARY" SECTIONS POSTED ON THE PARAGON WEBSITE</t>
  </si>
  <si>
    <t>andrew.kitching@paragonbank.co.uk</t>
  </si>
  <si>
    <t>jimmy.giles@paragonbank.co.uk</t>
  </si>
  <si>
    <t>FF7 INVESTOR REPORT QUARTER ENDING NOVEMBER 2017</t>
  </si>
  <si>
    <t>FF7 INVESTOR REPORT QUARTER ENDING FEBRUARY 2018</t>
  </si>
  <si>
    <t>FF7 INVESTOR REPORT QUARTER ENDING MAY 2018</t>
  </si>
  <si>
    <t>FF7 INVESTOR REPORT QUARTER ENDING AUGUST 2018</t>
  </si>
  <si>
    <t>FF7 INVESTOR REPORT QUARTER ENDING NOVEMBER 2018</t>
  </si>
  <si>
    <t>FF7 INVESTOR REPORT QUARTER ENDING FEBRUARY 2019</t>
  </si>
  <si>
    <t>FF7 INVESTOR REPORT QUARTER ENDING MAY 2019</t>
  </si>
  <si>
    <t>Release of the First Loss Fund following repayment of the Notes</t>
  </si>
  <si>
    <t>Release of the First Loss Fund to revenue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</si>
</sst>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809]#,##0"/>
    <numFmt numFmtId="165" formatCode="0.00000%"/>
    <numFmt numFmtId="166" formatCode="0.0%"/>
    <numFmt numFmtId="167" formatCode="d\-mmm\-yy"/>
    <numFmt numFmtId="168" formatCode="[$€-2]\ #,##0"/>
    <numFmt numFmtId="169" formatCode="0.000000"/>
    <numFmt numFmtId="170" formatCode="0.0000000"/>
  </numFmts>
  <fonts count="72"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color indexed="53"/>
      <name val="Times New Roman"/>
      <family val="1"/>
    </font>
    <font>
      <sz val="12"/>
      <color indexed="53"/>
      <name val="Times New Roman"/>
      <family val="1"/>
    </font>
    <font>
      <b/>
      <u/>
      <sz val="12"/>
      <color indexed="53"/>
      <name val="Times New Roman"/>
      <family val="1"/>
    </font>
    <font>
      <b/>
      <sz val="12"/>
      <color indexed="12"/>
      <name val="Times New Roman"/>
      <family val="1"/>
    </font>
    <font>
      <u/>
      <sz val="8.4"/>
      <color indexed="12"/>
      <name val="Arial"/>
      <family val="2"/>
    </font>
    <font>
      <sz val="12"/>
      <name val="Times New Roman"/>
      <family val="1"/>
    </font>
    <font>
      <b/>
      <sz val="12"/>
      <color indexed="39"/>
      <name val="Times New Roman"/>
      <family val="1"/>
    </font>
    <font>
      <b/>
      <sz val="12"/>
      <color indexed="39"/>
      <name val="Times New Roman"/>
      <family val="1"/>
    </font>
    <font>
      <b/>
      <sz val="14"/>
      <color indexed="53"/>
      <name val="Times New Roman"/>
      <family val="1"/>
    </font>
    <font>
      <b/>
      <u/>
      <sz val="14"/>
      <color indexed="53"/>
      <name val="Times New Roman"/>
      <family val="1"/>
    </font>
    <font>
      <b/>
      <u/>
      <sz val="12"/>
      <name val="Arial"/>
      <family val="2"/>
    </font>
    <font>
      <b/>
      <u/>
      <sz val="16"/>
      <color indexed="18"/>
      <name val="Times New Roman"/>
      <family val="1"/>
    </font>
    <font>
      <b/>
      <i/>
      <sz val="10"/>
      <color indexed="18"/>
      <name val="Times New Roman"/>
      <family val="1"/>
    </font>
    <font>
      <b/>
      <sz val="12"/>
      <color indexed="18"/>
      <name val="Times New Roman"/>
      <family val="1"/>
    </font>
    <font>
      <b/>
      <u/>
      <sz val="12"/>
      <color indexed="18"/>
      <name val="Times New Roman"/>
      <family val="1"/>
    </font>
    <font>
      <sz val="12"/>
      <color indexed="18"/>
      <name val="Times New Roman"/>
      <family val="1"/>
    </font>
    <font>
      <sz val="12"/>
      <color indexed="18"/>
      <name val="Arial"/>
      <family val="2"/>
    </font>
    <font>
      <sz val="12"/>
      <color indexed="18"/>
      <name val="Times New Roman"/>
      <family val="1"/>
    </font>
    <font>
      <b/>
      <sz val="12"/>
      <color indexed="18"/>
      <name val="Times New Roman"/>
      <family val="1"/>
    </font>
    <font>
      <b/>
      <sz val="12"/>
      <color indexed="18"/>
      <name val="Arial"/>
      <family val="2"/>
    </font>
    <font>
      <b/>
      <sz val="14"/>
      <color indexed="18"/>
      <name val="Times New Roman"/>
      <family val="1"/>
    </font>
    <font>
      <sz val="12"/>
      <color indexed="9"/>
      <name val="Times New Roman"/>
      <family val="1"/>
    </font>
    <font>
      <b/>
      <sz val="12"/>
      <color indexed="9"/>
      <name val="Times New Roman"/>
      <family val="1"/>
    </font>
    <font>
      <sz val="12"/>
      <color indexed="9"/>
      <name val="Times New Roman"/>
      <family val="1"/>
    </font>
    <font>
      <sz val="12"/>
      <color indexed="9"/>
      <name val="Arial"/>
      <family val="2"/>
    </font>
    <font>
      <b/>
      <sz val="12"/>
      <color indexed="9"/>
      <name val="Times New Roman"/>
      <family val="1"/>
    </font>
    <font>
      <b/>
      <u/>
      <sz val="12"/>
      <color rgb="FF89CB31"/>
      <name val="Calibri"/>
      <family val="2"/>
      <scheme val="minor"/>
    </font>
    <font>
      <sz val="12"/>
      <name val="Calibri"/>
      <family val="2"/>
      <scheme val="minor"/>
    </font>
    <font>
      <b/>
      <u/>
      <sz val="16"/>
      <color theme="6"/>
      <name val="Calibri"/>
      <family val="2"/>
      <scheme val="minor"/>
    </font>
    <font>
      <u/>
      <sz val="12"/>
      <name val="Calibri"/>
      <family val="2"/>
      <scheme val="minor"/>
    </font>
    <font>
      <b/>
      <sz val="12"/>
      <color theme="4"/>
      <name val="Calibri"/>
      <family val="2"/>
      <scheme val="minor"/>
    </font>
    <font>
      <b/>
      <i/>
      <sz val="10"/>
      <color theme="6"/>
      <name val="Calibri"/>
      <family val="2"/>
      <scheme val="minor"/>
    </font>
    <font>
      <b/>
      <i/>
      <sz val="10"/>
      <name val="Calibri"/>
      <family val="2"/>
      <scheme val="minor"/>
    </font>
    <font>
      <b/>
      <sz val="14"/>
      <color theme="4"/>
      <name val="Calibri"/>
      <family val="2"/>
      <scheme val="minor"/>
    </font>
    <font>
      <b/>
      <u/>
      <sz val="14"/>
      <color indexed="53"/>
      <name val="Calibri"/>
      <family val="2"/>
      <scheme val="minor"/>
    </font>
    <font>
      <b/>
      <sz val="12"/>
      <name val="Calibri"/>
      <family val="2"/>
      <scheme val="minor"/>
    </font>
    <font>
      <b/>
      <sz val="12"/>
      <color theme="6"/>
      <name val="Calibri"/>
      <family val="2"/>
      <scheme val="minor"/>
    </font>
    <font>
      <sz val="12"/>
      <color theme="6"/>
      <name val="Calibri"/>
      <family val="2"/>
      <scheme val="minor"/>
    </font>
    <font>
      <b/>
      <u/>
      <sz val="12"/>
      <color theme="6"/>
      <name val="Calibri"/>
      <family val="2"/>
      <scheme val="minor"/>
    </font>
    <font>
      <sz val="12"/>
      <color indexed="9"/>
      <name val="Calibri"/>
      <family val="2"/>
      <scheme val="minor"/>
    </font>
    <font>
      <b/>
      <sz val="12"/>
      <color indexed="9"/>
      <name val="Calibri"/>
      <family val="2"/>
      <scheme val="minor"/>
    </font>
    <font>
      <b/>
      <sz val="14"/>
      <color theme="6"/>
      <name val="Calibri"/>
      <family val="2"/>
      <scheme val="minor"/>
    </font>
    <font>
      <sz val="12"/>
      <color indexed="8"/>
      <name val="Calibri"/>
      <family val="2"/>
      <scheme val="minor"/>
    </font>
    <font>
      <sz val="12"/>
      <color indexed="18"/>
      <name val="Calibri"/>
      <family val="2"/>
      <scheme val="minor"/>
    </font>
    <font>
      <b/>
      <u/>
      <sz val="12"/>
      <name val="Calibri"/>
      <family val="2"/>
      <scheme val="minor"/>
    </font>
    <font>
      <b/>
      <u/>
      <sz val="12"/>
      <color indexed="18"/>
      <name val="Calibri"/>
      <family val="2"/>
      <scheme val="minor"/>
    </font>
    <font>
      <b/>
      <sz val="12"/>
      <color indexed="18"/>
      <name val="Calibri"/>
      <family val="2"/>
      <scheme val="minor"/>
    </font>
    <font>
      <b/>
      <sz val="12"/>
      <color indexed="8"/>
      <name val="Calibri"/>
      <family val="2"/>
      <scheme val="minor"/>
    </font>
    <font>
      <b/>
      <sz val="14"/>
      <color indexed="53"/>
      <name val="Calibri"/>
      <family val="2"/>
      <scheme val="minor"/>
    </font>
    <font>
      <sz val="12"/>
      <color theme="4"/>
      <name val="Calibri"/>
      <family val="2"/>
      <scheme val="minor"/>
    </font>
    <font>
      <b/>
      <u/>
      <sz val="12"/>
      <color theme="4"/>
      <name val="Calibri"/>
      <family val="2"/>
      <scheme val="minor"/>
    </font>
    <font>
      <b/>
      <u/>
      <sz val="14"/>
      <color rgb="FF89CB31"/>
      <name val="Calibri"/>
      <family val="2"/>
      <scheme val="minor"/>
    </font>
    <font>
      <b/>
      <sz val="12"/>
      <color rgb="FF2D2926"/>
      <name val="Calibri"/>
      <family val="2"/>
      <scheme val="minor"/>
    </font>
    <font>
      <sz val="12"/>
      <color rgb="FF2D2926"/>
      <name val="Calibri"/>
      <family val="2"/>
      <scheme val="minor"/>
    </font>
  </fonts>
  <fills count="7">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
      <patternFill patternType="solid">
        <fgColor rgb="FFF4F4F4"/>
        <bgColor indexed="64"/>
      </patternFill>
    </fill>
    <fill>
      <patternFill patternType="solid">
        <fgColor theme="4"/>
        <bgColor indexed="64"/>
      </patternFill>
    </fill>
  </fills>
  <borders count="33">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style="medium">
        <color indexed="8"/>
      </left>
      <right/>
      <top style="medium">
        <color indexed="8"/>
      </top>
      <bottom style="hair">
        <color indexed="8"/>
      </bottom>
      <diagonal/>
    </border>
    <border>
      <left/>
      <right/>
      <top style="medium">
        <color indexed="8"/>
      </top>
      <bottom style="hair">
        <color indexed="8"/>
      </bottom>
      <diagonal/>
    </border>
    <border>
      <left/>
      <right/>
      <top/>
      <bottom style="hair">
        <color indexed="8"/>
      </bottom>
      <diagonal/>
    </border>
    <border>
      <left style="medium">
        <color indexed="8"/>
      </left>
      <right/>
      <top style="hair">
        <color indexed="8"/>
      </top>
      <bottom/>
      <diagonal/>
    </border>
    <border>
      <left/>
      <right/>
      <top style="hair">
        <color indexed="8"/>
      </top>
      <bottom/>
      <diagonal/>
    </border>
    <border>
      <left style="medium">
        <color indexed="8"/>
      </left>
      <right/>
      <top style="hair">
        <color indexed="8"/>
      </top>
      <bottom style="hair">
        <color indexed="8"/>
      </bottom>
      <diagonal/>
    </border>
    <border>
      <left/>
      <right/>
      <top style="hair">
        <color indexed="8"/>
      </top>
      <bottom style="hair">
        <color indexed="8"/>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style="medium">
        <color indexed="8"/>
      </left>
      <right/>
      <top style="thin">
        <color indexed="55"/>
      </top>
      <bottom/>
      <diagonal/>
    </border>
    <border>
      <left/>
      <right/>
      <top style="thin">
        <color indexed="55"/>
      </top>
      <bottom/>
      <diagonal/>
    </border>
    <border>
      <left/>
      <right style="medium">
        <color indexed="8"/>
      </right>
      <top style="thin">
        <color indexed="55"/>
      </top>
      <bottom/>
      <diagonal/>
    </border>
    <border>
      <left/>
      <right style="medium">
        <color indexed="8"/>
      </right>
      <top/>
      <bottom/>
      <diagonal/>
    </border>
    <border>
      <left style="medium">
        <color indexed="64"/>
      </left>
      <right/>
      <top/>
      <bottom/>
      <diagonal/>
    </border>
    <border>
      <left style="medium">
        <color indexed="8"/>
      </left>
      <right/>
      <top/>
      <bottom style="thin">
        <color indexed="55"/>
      </bottom>
      <diagonal/>
    </border>
    <border>
      <left/>
      <right/>
      <top/>
      <bottom style="thin">
        <color indexed="55"/>
      </bottom>
      <diagonal/>
    </border>
    <border>
      <left/>
      <right style="medium">
        <color indexed="8"/>
      </right>
      <top/>
      <bottom style="thin">
        <color indexed="55"/>
      </bottom>
      <diagonal/>
    </border>
  </borders>
  <cellStyleXfs count="2">
    <xf numFmtId="0" fontId="0" fillId="0" borderId="0"/>
    <xf numFmtId="0" fontId="22" fillId="0" borderId="0" applyNumberFormat="0" applyFill="0" applyBorder="0" applyAlignment="0" applyProtection="0">
      <alignment vertical="top"/>
      <protection locked="0"/>
    </xf>
  </cellStyleXfs>
  <cellXfs count="625">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9"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4" xfId="0" applyNumberFormat="1" applyFont="1" applyFill="1" applyBorder="1" applyAlignment="1"/>
    <xf numFmtId="0" fontId="10"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3" fontId="2"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4" fillId="2" borderId="5" xfId="0" applyNumberFormat="1" applyFont="1" applyFill="1" applyBorder="1" applyAlignment="1"/>
    <xf numFmtId="165"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13" fillId="2" borderId="5" xfId="0" applyNumberFormat="1" applyFont="1" applyFill="1" applyBorder="1" applyAlignment="1" applyProtection="1">
      <alignment horizontal="center"/>
      <protection locked="0"/>
    </xf>
    <xf numFmtId="15" fontId="13" fillId="2" borderId="5" xfId="0" applyNumberFormat="1" applyFont="1" applyFill="1" applyBorder="1" applyAlignment="1">
      <alignment horizontal="center"/>
    </xf>
    <xf numFmtId="15" fontId="13" fillId="2" borderId="0" xfId="0" applyNumberFormat="1" applyFont="1" applyFill="1" applyAlignment="1" applyProtection="1">
      <alignment horizontal="center"/>
      <protection locked="0"/>
    </xf>
    <xf numFmtId="15" fontId="13" fillId="2" borderId="0" xfId="0" applyNumberFormat="1" applyFont="1" applyFill="1" applyAlignment="1">
      <alignment horizontal="center"/>
    </xf>
    <xf numFmtId="0" fontId="15"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13" fillId="2" borderId="5" xfId="0" applyNumberFormat="1" applyFont="1" applyFill="1" applyBorder="1" applyAlignment="1" applyProtection="1">
      <alignment horizontal="right"/>
      <protection locked="0"/>
    </xf>
    <xf numFmtId="3" fontId="13" fillId="2" borderId="5" xfId="0" applyNumberFormat="1" applyFont="1" applyFill="1" applyBorder="1" applyAlignment="1"/>
    <xf numFmtId="3" fontId="2" fillId="2" borderId="0" xfId="0" applyNumberFormat="1" applyFont="1" applyFill="1" applyAlignment="1"/>
    <xf numFmtId="3" fontId="13" fillId="2" borderId="0" xfId="0" applyNumberFormat="1" applyFont="1" applyFill="1" applyAlignment="1"/>
    <xf numFmtId="15" fontId="2" fillId="2" borderId="5" xfId="0" applyNumberFormat="1" applyFont="1" applyFill="1" applyBorder="1" applyAlignment="1"/>
    <xf numFmtId="4" fontId="13" fillId="2" borderId="5" xfId="0" applyNumberFormat="1" applyFont="1" applyFill="1" applyBorder="1" applyAlignment="1" applyProtection="1">
      <alignment horizontal="right"/>
      <protection locked="0"/>
    </xf>
    <xf numFmtId="0" fontId="12"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13" fillId="2" borderId="5" xfId="0" applyNumberFormat="1" applyFont="1" applyFill="1" applyBorder="1" applyAlignment="1" applyProtection="1">
      <alignment horizontal="center"/>
      <protection locked="0"/>
    </xf>
    <xf numFmtId="4" fontId="13" fillId="2" borderId="0" xfId="0" applyNumberFormat="1" applyFont="1" applyFill="1" applyAlignment="1" applyProtection="1">
      <alignment horizontal="right"/>
      <protection locked="0"/>
    </xf>
    <xf numFmtId="15" fontId="16" fillId="2" borderId="5" xfId="0" applyNumberFormat="1" applyFont="1" applyFill="1" applyBorder="1" applyAlignment="1">
      <alignment horizontal="center"/>
    </xf>
    <xf numFmtId="0" fontId="2" fillId="2" borderId="0" xfId="0" applyNumberFormat="1" applyFont="1" applyFill="1" applyAlignment="1" applyProtection="1">
      <protection locked="0"/>
    </xf>
    <xf numFmtId="2" fontId="13" fillId="2" borderId="5" xfId="0" applyNumberFormat="1" applyFont="1" applyFill="1" applyBorder="1" applyAlignment="1" applyProtection="1">
      <alignment horizontal="right"/>
      <protection locked="0"/>
    </xf>
    <xf numFmtId="0" fontId="13" fillId="2" borderId="1" xfId="0" applyNumberFormat="1" applyFont="1" applyFill="1" applyBorder="1" applyAlignment="1"/>
    <xf numFmtId="15" fontId="16" fillId="2" borderId="2" xfId="0" applyNumberFormat="1" applyFont="1" applyFill="1" applyBorder="1" applyAlignment="1">
      <alignment horizontal="centerContinuous"/>
    </xf>
    <xf numFmtId="15" fontId="16" fillId="2" borderId="2" xfId="0" applyNumberFormat="1" applyFont="1" applyFill="1" applyBorder="1" applyAlignment="1">
      <alignment horizontal="center"/>
    </xf>
    <xf numFmtId="15" fontId="10" fillId="2" borderId="2" xfId="0" applyNumberFormat="1" applyFont="1" applyFill="1" applyBorder="1" applyAlignment="1">
      <alignment horizontal="center"/>
    </xf>
    <xf numFmtId="0" fontId="13" fillId="2" borderId="3" xfId="0" applyNumberFormat="1" applyFont="1" applyFill="1" applyBorder="1" applyAlignment="1"/>
    <xf numFmtId="0" fontId="17" fillId="2" borderId="0" xfId="0" applyNumberFormat="1" applyFont="1" applyFill="1" applyAlignment="1"/>
    <xf numFmtId="15" fontId="16" fillId="2" borderId="0" xfId="0" applyNumberFormat="1" applyFont="1" applyFill="1" applyAlignment="1">
      <alignment horizontal="centerContinuous"/>
    </xf>
    <xf numFmtId="15" fontId="16" fillId="2" borderId="0" xfId="0" applyNumberFormat="1" applyFont="1" applyFill="1" applyAlignment="1">
      <alignment horizontal="center"/>
    </xf>
    <xf numFmtId="0" fontId="13" fillId="2" borderId="4" xfId="0" applyNumberFormat="1" applyFont="1" applyFill="1" applyBorder="1" applyAlignment="1"/>
    <xf numFmtId="0" fontId="13" fillId="2" borderId="5" xfId="0" applyNumberFormat="1" applyFont="1" applyFill="1" applyBorder="1" applyAlignment="1"/>
    <xf numFmtId="15" fontId="16" fillId="2" borderId="5" xfId="0" applyNumberFormat="1" applyFont="1" applyFill="1" applyBorder="1" applyAlignment="1">
      <alignment horizontal="centerContinuous"/>
    </xf>
    <xf numFmtId="10" fontId="13"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3" fillId="2" borderId="3" xfId="0" applyNumberFormat="1" applyFont="1" applyFill="1" applyBorder="1" applyAlignment="1">
      <alignment horizontal="right"/>
    </xf>
    <xf numFmtId="0" fontId="16" fillId="2" borderId="0" xfId="0" applyNumberFormat="1" applyFont="1" applyFill="1" applyAlignment="1">
      <alignment horizontal="center"/>
    </xf>
    <xf numFmtId="3" fontId="10" fillId="2" borderId="0" xfId="0" applyNumberFormat="1" applyFont="1" applyFill="1" applyAlignment="1">
      <alignment horizontal="center"/>
    </xf>
    <xf numFmtId="0" fontId="13" fillId="2" borderId="4" xfId="0" applyNumberFormat="1" applyFont="1" applyFill="1" applyBorder="1" applyAlignment="1">
      <alignment horizontal="right"/>
    </xf>
    <xf numFmtId="3" fontId="13" fillId="2" borderId="5" xfId="0" applyNumberFormat="1" applyFont="1" applyFill="1" applyBorder="1" applyAlignment="1" applyProtection="1">
      <alignment horizontal="center"/>
      <protection locked="0"/>
    </xf>
    <xf numFmtId="3" fontId="16" fillId="2" borderId="5" xfId="0" applyNumberFormat="1" applyFont="1" applyFill="1" applyBorder="1" applyAlignment="1"/>
    <xf numFmtId="0" fontId="13" fillId="2" borderId="4" xfId="0" applyNumberFormat="1" applyFont="1" applyFill="1" applyBorder="1" applyAlignment="1">
      <alignment horizontal="center"/>
    </xf>
    <xf numFmtId="0" fontId="16" fillId="2" borderId="5" xfId="0" applyNumberFormat="1" applyFont="1" applyFill="1" applyBorder="1" applyAlignment="1"/>
    <xf numFmtId="0" fontId="13" fillId="2" borderId="5" xfId="0" applyNumberFormat="1" applyFont="1" applyFill="1" applyBorder="1" applyAlignment="1">
      <alignment horizontal="right"/>
    </xf>
    <xf numFmtId="10" fontId="13" fillId="2" borderId="5" xfId="0" applyNumberFormat="1" applyFont="1" applyFill="1" applyBorder="1" applyAlignment="1" applyProtection="1">
      <alignment horizontal="center"/>
      <protection locked="0"/>
    </xf>
    <xf numFmtId="0" fontId="16" fillId="2" borderId="0" xfId="0" applyNumberFormat="1" applyFont="1" applyFill="1" applyAlignment="1"/>
    <xf numFmtId="166" fontId="13" fillId="2" borderId="5" xfId="0" applyNumberFormat="1" applyFont="1" applyFill="1" applyBorder="1" applyAlignment="1"/>
    <xf numFmtId="10" fontId="13" fillId="2" borderId="5" xfId="0" applyNumberFormat="1" applyFont="1" applyFill="1" applyBorder="1" applyAlignment="1"/>
    <xf numFmtId="9" fontId="2" fillId="2" borderId="5" xfId="0" applyNumberFormat="1" applyFont="1" applyFill="1" applyBorder="1" applyAlignment="1"/>
    <xf numFmtId="9" fontId="2" fillId="2" borderId="0" xfId="0" applyNumberFormat="1" applyFont="1" applyFill="1" applyAlignment="1"/>
    <xf numFmtId="3" fontId="13" fillId="2" borderId="0" xfId="0" applyNumberFormat="1" applyFont="1" applyFill="1" applyAlignment="1" applyProtection="1">
      <alignment horizontal="right"/>
      <protection locked="0"/>
    </xf>
    <xf numFmtId="0" fontId="8" fillId="2" borderId="3" xfId="0" applyNumberFormat="1" applyFont="1" applyFill="1" applyBorder="1" applyAlignment="1"/>
    <xf numFmtId="0" fontId="0" fillId="0" borderId="2" xfId="0" applyNumberFormat="1" applyBorder="1"/>
    <xf numFmtId="0" fontId="2" fillId="2" borderId="6" xfId="0" applyNumberFormat="1" applyFont="1" applyFill="1" applyBorder="1" applyAlignment="1"/>
    <xf numFmtId="0" fontId="15"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8" fillId="2" borderId="7" xfId="0" applyNumberFormat="1" applyFont="1" applyFill="1" applyBorder="1" applyAlignment="1"/>
    <xf numFmtId="0" fontId="8" fillId="2" borderId="8" xfId="0" applyNumberFormat="1" applyFont="1" applyFill="1" applyBorder="1" applyAlignment="1"/>
    <xf numFmtId="3" fontId="1" fillId="0" borderId="0" xfId="0" applyNumberFormat="1" applyFont="1" applyAlignment="1"/>
    <xf numFmtId="167" fontId="2" fillId="2" borderId="5" xfId="0" applyNumberFormat="1" applyFont="1" applyFill="1" applyBorder="1" applyAlignment="1">
      <alignment horizontal="center"/>
    </xf>
    <xf numFmtId="0" fontId="18" fillId="2" borderId="0" xfId="0" applyNumberFormat="1" applyFont="1" applyFill="1" applyAlignment="1"/>
    <xf numFmtId="0" fontId="18" fillId="2" borderId="0" xfId="0" applyNumberFormat="1" applyFont="1" applyFill="1" applyAlignment="1">
      <alignment horizontal="center" wrapText="1"/>
    </xf>
    <xf numFmtId="0" fontId="19" fillId="2" borderId="0" xfId="0" applyNumberFormat="1" applyFont="1" applyFill="1" applyAlignment="1">
      <alignment horizontal="center" wrapText="1"/>
    </xf>
    <xf numFmtId="0" fontId="18" fillId="2" borderId="0" xfId="0" applyNumberFormat="1" applyFont="1" applyFill="1" applyAlignment="1">
      <alignment horizontal="left" vertical="top" wrapText="1"/>
    </xf>
    <xf numFmtId="0" fontId="18" fillId="2" borderId="0" xfId="0" applyNumberFormat="1" applyFont="1" applyFill="1" applyAlignment="1">
      <alignment horizontal="center" vertical="top" wrapText="1"/>
    </xf>
    <xf numFmtId="4" fontId="18" fillId="2" borderId="0" xfId="0" applyNumberFormat="1" applyFont="1" applyFill="1" applyAlignment="1" applyProtection="1">
      <alignment horizontal="center" vertical="top" wrapText="1"/>
      <protection locked="0"/>
    </xf>
    <xf numFmtId="0" fontId="19" fillId="2" borderId="0" xfId="0" applyNumberFormat="1" applyFont="1" applyFill="1" applyAlignment="1"/>
    <xf numFmtId="0" fontId="20" fillId="2" borderId="5" xfId="0" applyNumberFormat="1" applyFont="1" applyFill="1" applyBorder="1" applyAlignment="1"/>
    <xf numFmtId="0" fontId="20" fillId="2" borderId="0" xfId="0" applyNumberFormat="1" applyFont="1" applyFill="1" applyAlignment="1"/>
    <xf numFmtId="0" fontId="18" fillId="2" borderId="0" xfId="0" applyNumberFormat="1" applyFont="1" applyFill="1" applyAlignment="1">
      <alignment horizontal="right"/>
    </xf>
    <xf numFmtId="4" fontId="18" fillId="2" borderId="0" xfId="0" applyNumberFormat="1" applyFont="1" applyFill="1" applyAlignment="1" applyProtection="1">
      <alignment horizontal="right"/>
      <protection locked="0"/>
    </xf>
    <xf numFmtId="0" fontId="18" fillId="2" borderId="5" xfId="0" applyNumberFormat="1" applyFont="1" applyFill="1" applyBorder="1" applyAlignment="1"/>
    <xf numFmtId="0" fontId="21" fillId="2" borderId="5" xfId="0" applyNumberFormat="1" applyFont="1" applyFill="1" applyBorder="1" applyAlignment="1">
      <alignment horizontal="center" wrapText="1"/>
    </xf>
    <xf numFmtId="168" fontId="2" fillId="2" borderId="5" xfId="0" applyNumberFormat="1" applyFont="1" applyFill="1" applyBorder="1" applyAlignment="1">
      <alignment horizontal="center"/>
    </xf>
    <xf numFmtId="168" fontId="10" fillId="2" borderId="5" xfId="0" applyNumberFormat="1" applyFont="1" applyFill="1" applyBorder="1" applyAlignment="1">
      <alignment horizontal="center"/>
    </xf>
    <xf numFmtId="167" fontId="2" fillId="2" borderId="5" xfId="0" applyNumberFormat="1" applyFont="1" applyFill="1" applyBorder="1" applyAlignment="1">
      <alignment horizontal="right"/>
    </xf>
    <xf numFmtId="17" fontId="2" fillId="2" borderId="5" xfId="0" applyNumberFormat="1" applyFont="1" applyFill="1" applyBorder="1" applyAlignment="1">
      <alignment horizontal="center"/>
    </xf>
    <xf numFmtId="0" fontId="9" fillId="2" borderId="0" xfId="0" quotePrefix="1" applyNumberFormat="1" applyFont="1" applyFill="1" applyAlignment="1">
      <alignment horizontal="center"/>
    </xf>
    <xf numFmtId="0" fontId="23" fillId="2" borderId="5" xfId="0" applyNumberFormat="1" applyFont="1" applyFill="1" applyBorder="1" applyAlignment="1"/>
    <xf numFmtId="10" fontId="2" fillId="2" borderId="5" xfId="0" applyNumberFormat="1" applyFont="1" applyFill="1" applyBorder="1" applyAlignment="1"/>
    <xf numFmtId="4" fontId="13" fillId="2" borderId="5" xfId="0" applyNumberFormat="1" applyFont="1" applyFill="1" applyBorder="1" applyAlignment="1">
      <alignment horizontal="center"/>
    </xf>
    <xf numFmtId="0" fontId="2" fillId="0" borderId="0" xfId="0" applyNumberFormat="1" applyFont="1" applyFill="1" applyBorder="1" applyAlignment="1"/>
    <xf numFmtId="169" fontId="18" fillId="2" borderId="5" xfId="0" applyNumberFormat="1" applyFont="1" applyFill="1" applyBorder="1" applyAlignment="1">
      <alignment horizontal="center"/>
    </xf>
    <xf numFmtId="10" fontId="10" fillId="2" borderId="0" xfId="0" applyNumberFormat="1" applyFont="1" applyFill="1" applyAlignment="1">
      <alignment horizontal="center"/>
    </xf>
    <xf numFmtId="0" fontId="20" fillId="2" borderId="9" xfId="0" applyNumberFormat="1" applyFont="1" applyFill="1" applyBorder="1" applyAlignment="1"/>
    <xf numFmtId="0" fontId="2" fillId="2" borderId="10" xfId="0" applyNumberFormat="1" applyFont="1" applyFill="1" applyBorder="1" applyAlignment="1"/>
    <xf numFmtId="0" fontId="2" fillId="2" borderId="11" xfId="0" applyNumberFormat="1" applyFont="1" applyFill="1" applyBorder="1" applyAlignment="1"/>
    <xf numFmtId="0" fontId="2" fillId="2" borderId="12" xfId="0" applyNumberFormat="1" applyFont="1" applyFill="1" applyBorder="1" applyAlignment="1"/>
    <xf numFmtId="0" fontId="24" fillId="2" borderId="5" xfId="0" applyNumberFormat="1" applyFont="1" applyFill="1" applyBorder="1" applyAlignment="1"/>
    <xf numFmtId="10" fontId="2" fillId="2" borderId="9" xfId="0" applyNumberFormat="1" applyFont="1" applyFill="1" applyBorder="1" applyAlignment="1"/>
    <xf numFmtId="3" fontId="25" fillId="2" borderId="9" xfId="0" applyNumberFormat="1" applyFont="1" applyFill="1" applyBorder="1" applyAlignment="1" applyProtection="1">
      <alignment horizontal="right"/>
      <protection locked="0"/>
    </xf>
    <xf numFmtId="9" fontId="2" fillId="2" borderId="10" xfId="0" applyNumberFormat="1" applyFont="1" applyFill="1" applyBorder="1" applyAlignment="1"/>
    <xf numFmtId="0" fontId="26" fillId="2" borderId="0" xfId="0" applyNumberFormat="1" applyFont="1" applyFill="1" applyAlignment="1"/>
    <xf numFmtId="0" fontId="27" fillId="2" borderId="0" xfId="1" applyNumberFormat="1" applyFont="1" applyFill="1" applyAlignment="1" applyProtection="1"/>
    <xf numFmtId="0" fontId="26" fillId="2" borderId="5" xfId="0" applyNumberFormat="1" applyFont="1" applyFill="1" applyBorder="1" applyAlignment="1"/>
    <xf numFmtId="10" fontId="27" fillId="2" borderId="5" xfId="1" applyNumberFormat="1" applyFont="1" applyFill="1" applyBorder="1" applyAlignment="1">
      <alignment horizontal="left"/>
      <protection locked="0"/>
    </xf>
    <xf numFmtId="3" fontId="2" fillId="2" borderId="5" xfId="0" applyNumberFormat="1" applyFont="1" applyFill="1" applyBorder="1" applyAlignment="1">
      <alignment horizontal="center"/>
    </xf>
    <xf numFmtId="0" fontId="21" fillId="2" borderId="5" xfId="0" applyNumberFormat="1" applyFont="1" applyFill="1" applyBorder="1" applyAlignment="1"/>
    <xf numFmtId="164" fontId="23" fillId="2" borderId="5" xfId="0" applyNumberFormat="1" applyFont="1" applyFill="1" applyBorder="1" applyAlignment="1">
      <alignment horizontal="center"/>
    </xf>
    <xf numFmtId="164" fontId="21" fillId="2" borderId="5" xfId="0" applyNumberFormat="1" applyFont="1" applyFill="1" applyBorder="1" applyAlignment="1">
      <alignment horizontal="center"/>
    </xf>
    <xf numFmtId="0" fontId="10" fillId="2" borderId="5" xfId="0" applyNumberFormat="1" applyFont="1" applyFill="1" applyBorder="1" applyAlignment="1">
      <alignment horizontal="center"/>
    </xf>
    <xf numFmtId="15" fontId="10" fillId="2" borderId="0" xfId="0" applyNumberFormat="1" applyFont="1" applyFill="1" applyAlignment="1">
      <alignment horizontal="right"/>
    </xf>
    <xf numFmtId="0" fontId="10" fillId="2" borderId="0" xfId="0" applyNumberFormat="1" applyFont="1" applyFill="1" applyAlignment="1">
      <alignment horizontal="right"/>
    </xf>
    <xf numFmtId="3" fontId="21" fillId="2" borderId="9" xfId="0" applyNumberFormat="1" applyFont="1" applyFill="1" applyBorder="1" applyAlignment="1"/>
    <xf numFmtId="0" fontId="1" fillId="0" borderId="2" xfId="0" applyNumberFormat="1" applyFont="1" applyBorder="1" applyAlignment="1"/>
    <xf numFmtId="0" fontId="2" fillId="2" borderId="0" xfId="0" applyNumberFormat="1" applyFont="1" applyFill="1" applyBorder="1" applyAlignment="1"/>
    <xf numFmtId="4" fontId="2" fillId="2" borderId="0" xfId="0" applyNumberFormat="1" applyFont="1" applyFill="1" applyBorder="1" applyAlignment="1" applyProtection="1">
      <alignment horizontal="right"/>
      <protection locked="0"/>
    </xf>
    <xf numFmtId="0" fontId="1" fillId="0" borderId="0" xfId="0" applyNumberFormat="1" applyFont="1" applyBorder="1" applyAlignment="1"/>
    <xf numFmtId="0" fontId="2" fillId="2" borderId="13" xfId="0" applyNumberFormat="1" applyFont="1" applyFill="1" applyBorder="1" applyAlignment="1"/>
    <xf numFmtId="0" fontId="2" fillId="2" borderId="14" xfId="0" applyNumberFormat="1" applyFont="1" applyFill="1" applyBorder="1" applyAlignment="1"/>
    <xf numFmtId="0" fontId="1" fillId="0" borderId="15" xfId="0" applyNumberFormat="1" applyFont="1" applyBorder="1" applyAlignment="1"/>
    <xf numFmtId="0" fontId="2" fillId="2" borderId="16" xfId="0" applyNumberFormat="1" applyFont="1" applyFill="1" applyBorder="1" applyAlignment="1"/>
    <xf numFmtId="0" fontId="2" fillId="2" borderId="17" xfId="0" applyNumberFormat="1" applyFont="1" applyFill="1" applyBorder="1" applyAlignment="1"/>
    <xf numFmtId="0" fontId="1" fillId="0" borderId="17" xfId="0" applyNumberFormat="1" applyFont="1" applyBorder="1" applyAlignment="1"/>
    <xf numFmtId="0" fontId="20" fillId="2" borderId="0" xfId="0" applyNumberFormat="1" applyFont="1" applyFill="1" applyBorder="1" applyAlignment="1"/>
    <xf numFmtId="0" fontId="2" fillId="2" borderId="18" xfId="0" applyNumberFormat="1" applyFont="1" applyFill="1" applyBorder="1" applyAlignment="1"/>
    <xf numFmtId="0" fontId="2" fillId="2" borderId="19" xfId="0" applyNumberFormat="1" applyFont="1" applyFill="1" applyBorder="1" applyAlignment="1"/>
    <xf numFmtId="0" fontId="1" fillId="0" borderId="19" xfId="0" applyNumberFormat="1" applyFont="1" applyBorder="1" applyAlignment="1"/>
    <xf numFmtId="3" fontId="2" fillId="2" borderId="14" xfId="0" applyNumberFormat="1" applyFont="1" applyFill="1" applyBorder="1" applyAlignment="1" applyProtection="1">
      <alignment horizontal="right"/>
      <protection locked="0"/>
    </xf>
    <xf numFmtId="3" fontId="2" fillId="2" borderId="0" xfId="0" applyNumberFormat="1" applyFont="1" applyFill="1" applyBorder="1" applyAlignment="1" applyProtection="1">
      <alignment horizontal="right"/>
      <protection locked="0"/>
    </xf>
    <xf numFmtId="3" fontId="2" fillId="2" borderId="19" xfId="0" applyNumberFormat="1" applyFont="1" applyFill="1" applyBorder="1" applyAlignment="1" applyProtection="1">
      <alignment horizontal="right"/>
      <protection locked="0"/>
    </xf>
    <xf numFmtId="3" fontId="2" fillId="2" borderId="17" xfId="0" applyNumberFormat="1" applyFont="1" applyFill="1" applyBorder="1" applyAlignment="1" applyProtection="1">
      <alignment horizontal="right"/>
      <protection locked="0"/>
    </xf>
    <xf numFmtId="0" fontId="4" fillId="2" borderId="1" xfId="0" applyNumberFormat="1" applyFont="1" applyFill="1" applyBorder="1" applyAlignment="1"/>
    <xf numFmtId="0" fontId="4" fillId="2" borderId="2" xfId="0" applyNumberFormat="1" applyFont="1" applyFill="1" applyBorder="1" applyAlignment="1"/>
    <xf numFmtId="4" fontId="4" fillId="2" borderId="2" xfId="0" applyNumberFormat="1" applyFont="1" applyFill="1" applyBorder="1" applyAlignment="1" applyProtection="1">
      <alignment horizontal="right"/>
      <protection locked="0"/>
    </xf>
    <xf numFmtId="170" fontId="18" fillId="2" borderId="5" xfId="0" applyNumberFormat="1" applyFont="1" applyFill="1" applyBorder="1" applyAlignment="1">
      <alignment horizontal="center"/>
    </xf>
    <xf numFmtId="0" fontId="28" fillId="0" borderId="3" xfId="0" applyNumberFormat="1" applyFont="1" applyBorder="1"/>
    <xf numFmtId="0" fontId="28" fillId="0" borderId="0" xfId="0" applyNumberFormat="1" applyFont="1" applyBorder="1" applyAlignment="1"/>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10" fontId="26" fillId="2" borderId="5" xfId="1" applyNumberFormat="1" applyFont="1" applyFill="1" applyBorder="1" applyAlignment="1">
      <alignment horizontal="left"/>
      <protection locked="0"/>
    </xf>
    <xf numFmtId="0" fontId="2" fillId="2" borderId="20" xfId="0" applyNumberFormat="1" applyFont="1" applyFill="1" applyBorder="1" applyAlignment="1"/>
    <xf numFmtId="0" fontId="2" fillId="2" borderId="9" xfId="0" applyNumberFormat="1" applyFont="1" applyFill="1" applyBorder="1" applyAlignment="1"/>
    <xf numFmtId="3" fontId="2" fillId="2" borderId="9" xfId="0" applyNumberFormat="1" applyFont="1" applyFill="1" applyBorder="1" applyAlignment="1" applyProtection="1">
      <alignment horizontal="right"/>
      <protection locked="0"/>
    </xf>
    <xf numFmtId="0" fontId="2" fillId="2" borderId="21" xfId="0" applyNumberFormat="1" applyFont="1" applyFill="1" applyBorder="1" applyAlignment="1"/>
    <xf numFmtId="3" fontId="2" fillId="2" borderId="2" xfId="0" applyNumberFormat="1" applyFont="1" applyFill="1" applyBorder="1" applyAlignment="1" applyProtection="1">
      <alignment horizontal="right"/>
      <protection locked="0"/>
    </xf>
    <xf numFmtId="0" fontId="2" fillId="3" borderId="1" xfId="0" applyNumberFormat="1" applyFont="1" applyFill="1" applyBorder="1" applyAlignment="1"/>
    <xf numFmtId="0" fontId="2" fillId="3" borderId="2" xfId="0" applyNumberFormat="1" applyFont="1" applyFill="1" applyBorder="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18" fillId="3" borderId="0" xfId="0" applyNumberFormat="1" applyFont="1" applyFill="1" applyAlignment="1"/>
    <xf numFmtId="0" fontId="7" fillId="3" borderId="0" xfId="0" applyNumberFormat="1" applyFont="1" applyFill="1" applyAlignment="1"/>
    <xf numFmtId="0" fontId="26" fillId="3" borderId="0" xfId="0" applyNumberFormat="1" applyFont="1" applyFill="1" applyAlignment="1"/>
    <xf numFmtId="0" fontId="27" fillId="3" borderId="0" xfId="1" applyNumberFormat="1" applyFont="1" applyFill="1" applyAlignment="1" applyProtection="1"/>
    <xf numFmtId="0" fontId="9" fillId="3" borderId="0" xfId="0" applyNumberFormat="1" applyFont="1" applyFill="1" applyAlignment="1"/>
    <xf numFmtId="0" fontId="11" fillId="3" borderId="0" xfId="0" applyNumberFormat="1" applyFont="1" applyFill="1" applyAlignment="1"/>
    <xf numFmtId="0" fontId="12" fillId="3" borderId="0" xfId="0" applyNumberFormat="1" applyFont="1" applyFill="1" applyAlignment="1">
      <alignment horizontal="center" wrapText="1"/>
    </xf>
    <xf numFmtId="9" fontId="10" fillId="3" borderId="0" xfId="0" applyNumberFormat="1" applyFont="1" applyFill="1" applyAlignment="1">
      <alignment horizontal="center"/>
    </xf>
    <xf numFmtId="0" fontId="2" fillId="3" borderId="0" xfId="0" applyNumberFormat="1" applyFont="1" applyFill="1" applyAlignment="1">
      <alignment horizontal="center"/>
    </xf>
    <xf numFmtId="0" fontId="4" fillId="3" borderId="0" xfId="0" applyNumberFormat="1" applyFont="1" applyFill="1" applyAlignment="1"/>
    <xf numFmtId="0" fontId="1" fillId="3" borderId="0" xfId="0" applyNumberFormat="1" applyFont="1" applyFill="1" applyAlignment="1"/>
    <xf numFmtId="0" fontId="2" fillId="3" borderId="0" xfId="0" applyNumberFormat="1" applyFont="1" applyFill="1" applyAlignment="1">
      <alignment horizontal="right"/>
    </xf>
    <xf numFmtId="0" fontId="2" fillId="3" borderId="6" xfId="0" applyNumberFormat="1" applyFont="1" applyFill="1" applyBorder="1" applyAlignment="1"/>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18" fillId="3" borderId="0" xfId="0" applyNumberFormat="1" applyFont="1" applyFill="1" applyAlignment="1">
      <alignment horizontal="left" vertical="top" wrapText="1"/>
    </xf>
    <xf numFmtId="0" fontId="18" fillId="3" borderId="0" xfId="0" applyNumberFormat="1" applyFont="1" applyFill="1" applyAlignment="1">
      <alignment horizontal="center" vertical="top" wrapText="1"/>
    </xf>
    <xf numFmtId="4" fontId="18" fillId="3" borderId="0" xfId="0" applyNumberFormat="1" applyFont="1" applyFill="1" applyAlignment="1" applyProtection="1">
      <alignment horizontal="center" vertical="top" wrapText="1"/>
      <protection locked="0"/>
    </xf>
    <xf numFmtId="0" fontId="19" fillId="3" borderId="0" xfId="0" applyNumberFormat="1" applyFont="1" applyFill="1" applyAlignment="1"/>
    <xf numFmtId="3" fontId="2" fillId="3" borderId="0" xfId="0" applyNumberFormat="1" applyFont="1" applyFill="1" applyAlignment="1"/>
    <xf numFmtId="3" fontId="13" fillId="3" borderId="0" xfId="0" applyNumberFormat="1" applyFont="1" applyFill="1" applyAlignment="1"/>
    <xf numFmtId="0" fontId="20" fillId="3" borderId="0" xfId="0" applyNumberFormat="1" applyFont="1" applyFill="1" applyAlignment="1"/>
    <xf numFmtId="4" fontId="13" fillId="3" borderId="0" xfId="0" applyNumberFormat="1" applyFont="1" applyFill="1" applyAlignment="1" applyProtection="1">
      <alignment horizontal="right"/>
      <protection locked="0"/>
    </xf>
    <xf numFmtId="0" fontId="20" fillId="3" borderId="0" xfId="0" applyNumberFormat="1" applyFont="1" applyFill="1" applyBorder="1" applyAlignment="1"/>
    <xf numFmtId="0" fontId="2" fillId="3" borderId="0" xfId="0" applyNumberFormat="1" applyFont="1" applyFill="1" applyBorder="1" applyAlignment="1"/>
    <xf numFmtId="4" fontId="2" fillId="3" borderId="0" xfId="0" applyNumberFormat="1" applyFont="1" applyFill="1" applyBorder="1" applyAlignment="1" applyProtection="1">
      <alignment horizontal="right"/>
      <protection locked="0"/>
    </xf>
    <xf numFmtId="0" fontId="4" fillId="3" borderId="1" xfId="0" applyNumberFormat="1" applyFont="1" applyFill="1" applyBorder="1" applyAlignment="1"/>
    <xf numFmtId="0" fontId="4" fillId="3" borderId="2" xfId="0" applyNumberFormat="1" applyFont="1" applyFill="1" applyBorder="1" applyAlignment="1"/>
    <xf numFmtId="4" fontId="4" fillId="3" borderId="2" xfId="0" applyNumberFormat="1" applyFont="1" applyFill="1" applyBorder="1" applyAlignment="1" applyProtection="1">
      <alignment horizontal="right"/>
      <protection locked="0"/>
    </xf>
    <xf numFmtId="0" fontId="18" fillId="3" borderId="0" xfId="0" applyNumberFormat="1" applyFont="1" applyFill="1" applyAlignment="1">
      <alignment horizontal="right"/>
    </xf>
    <xf numFmtId="4" fontId="18"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3" fillId="3" borderId="3" xfId="0" applyNumberFormat="1" applyFont="1" applyFill="1" applyBorder="1" applyAlignment="1"/>
    <xf numFmtId="0" fontId="1" fillId="3" borderId="3" xfId="0" applyNumberFormat="1" applyFont="1" applyFill="1" applyBorder="1" applyAlignment="1"/>
    <xf numFmtId="0" fontId="29" fillId="3" borderId="2" xfId="0" applyNumberFormat="1" applyFont="1" applyFill="1" applyBorder="1" applyAlignment="1"/>
    <xf numFmtId="0" fontId="30" fillId="3" borderId="0" xfId="0" applyNumberFormat="1" applyFont="1" applyFill="1" applyAlignment="1"/>
    <xf numFmtId="0" fontId="31" fillId="3" borderId="0" xfId="0" applyNumberFormat="1" applyFont="1" applyFill="1" applyAlignment="1"/>
    <xf numFmtId="9" fontId="31" fillId="3" borderId="0" xfId="0" applyNumberFormat="1" applyFont="1" applyFill="1" applyAlignment="1">
      <alignment horizontal="center"/>
    </xf>
    <xf numFmtId="10" fontId="31" fillId="3" borderId="0" xfId="0" applyNumberFormat="1" applyFont="1" applyFill="1" applyAlignment="1">
      <alignment horizontal="center"/>
    </xf>
    <xf numFmtId="0" fontId="31" fillId="3" borderId="0" xfId="0" applyNumberFormat="1" applyFont="1" applyFill="1" applyAlignment="1">
      <alignment horizontal="center"/>
    </xf>
    <xf numFmtId="0" fontId="32" fillId="3" borderId="0" xfId="0" applyNumberFormat="1" applyFont="1" applyFill="1" applyAlignment="1">
      <alignment horizontal="center" wrapText="1"/>
    </xf>
    <xf numFmtId="15" fontId="31" fillId="3" borderId="0" xfId="0" applyNumberFormat="1" applyFont="1" applyFill="1" applyAlignment="1">
      <alignment horizontal="center"/>
    </xf>
    <xf numFmtId="0" fontId="33" fillId="3" borderId="0" xfId="0" applyNumberFormat="1" applyFont="1" applyFill="1" applyAlignment="1">
      <alignment horizontal="center"/>
    </xf>
    <xf numFmtId="0" fontId="32" fillId="3" borderId="0" xfId="0" applyNumberFormat="1" applyFont="1" applyFill="1" applyAlignment="1"/>
    <xf numFmtId="0" fontId="33" fillId="3" borderId="3" xfId="0" applyNumberFormat="1" applyFont="1" applyFill="1" applyBorder="1" applyAlignment="1"/>
    <xf numFmtId="0" fontId="33" fillId="3" borderId="0" xfId="0" applyNumberFormat="1" applyFont="1" applyFill="1" applyAlignment="1"/>
    <xf numFmtId="15" fontId="33" fillId="3" borderId="0" xfId="0" applyNumberFormat="1" applyFont="1" applyFill="1" applyAlignment="1" applyProtection="1">
      <alignment horizontal="center"/>
      <protection locked="0"/>
    </xf>
    <xf numFmtId="15" fontId="33" fillId="3" borderId="0" xfId="0" applyNumberFormat="1" applyFont="1" applyFill="1" applyAlignment="1">
      <alignment horizontal="center"/>
    </xf>
    <xf numFmtId="0" fontId="33" fillId="3" borderId="6" xfId="0" applyNumberFormat="1" applyFont="1" applyFill="1" applyBorder="1" applyAlignment="1"/>
    <xf numFmtId="0" fontId="38" fillId="3" borderId="7" xfId="0" applyNumberFormat="1" applyFont="1" applyFill="1" applyBorder="1" applyAlignment="1"/>
    <xf numFmtId="0" fontId="33" fillId="3" borderId="7" xfId="0" applyNumberFormat="1" applyFont="1" applyFill="1" applyBorder="1" applyAlignment="1"/>
    <xf numFmtId="0" fontId="33" fillId="3" borderId="7" xfId="0" applyNumberFormat="1" applyFont="1" applyFill="1" applyBorder="1" applyAlignment="1" applyProtection="1">
      <alignment horizontal="right"/>
      <protection locked="0"/>
    </xf>
    <xf numFmtId="0" fontId="33" fillId="3" borderId="8" xfId="0" applyNumberFormat="1" applyFont="1" applyFill="1" applyBorder="1" applyAlignment="1"/>
    <xf numFmtId="4" fontId="33" fillId="3" borderId="0" xfId="0" applyNumberFormat="1" applyFont="1" applyFill="1" applyAlignment="1" applyProtection="1">
      <alignment horizontal="right"/>
      <protection locked="0"/>
    </xf>
    <xf numFmtId="4" fontId="33" fillId="3" borderId="7" xfId="0" applyNumberFormat="1" applyFont="1" applyFill="1" applyBorder="1" applyAlignment="1" applyProtection="1">
      <alignment horizontal="right"/>
      <protection locked="0"/>
    </xf>
    <xf numFmtId="0" fontId="33" fillId="3" borderId="0" xfId="0" applyNumberFormat="1" applyFont="1" applyFill="1" applyBorder="1" applyAlignment="1"/>
    <xf numFmtId="3" fontId="33" fillId="3" borderId="0" xfId="0" applyNumberFormat="1" applyFont="1" applyFill="1" applyBorder="1" applyAlignment="1" applyProtection="1">
      <alignment horizontal="right"/>
      <protection locked="0"/>
    </xf>
    <xf numFmtId="0" fontId="34" fillId="3" borderId="7" xfId="0" applyNumberFormat="1" applyFont="1" applyFill="1" applyBorder="1" applyAlignment="1"/>
    <xf numFmtId="0" fontId="34" fillId="3" borderId="8" xfId="0" applyNumberFormat="1" applyFont="1" applyFill="1" applyBorder="1" applyAlignment="1"/>
    <xf numFmtId="15" fontId="31" fillId="3" borderId="0" xfId="0" applyNumberFormat="1" applyFont="1" applyFill="1" applyAlignment="1">
      <alignment horizontal="centerContinuous"/>
    </xf>
    <xf numFmtId="9" fontId="33" fillId="3" borderId="0" xfId="0" applyNumberFormat="1" applyFont="1" applyFill="1" applyAlignment="1"/>
    <xf numFmtId="3" fontId="33" fillId="3" borderId="0" xfId="0" applyNumberFormat="1" applyFont="1" applyFill="1" applyAlignment="1" applyProtection="1">
      <alignment horizontal="right"/>
      <protection locked="0"/>
    </xf>
    <xf numFmtId="0" fontId="34" fillId="3" borderId="0" xfId="0" applyNumberFormat="1" applyFont="1" applyFill="1" applyAlignment="1"/>
    <xf numFmtId="0" fontId="31" fillId="3" borderId="0" xfId="0" quotePrefix="1" applyNumberFormat="1" applyFont="1" applyFill="1" applyAlignment="1">
      <alignment horizontal="center"/>
    </xf>
    <xf numFmtId="0" fontId="38" fillId="3" borderId="0" xfId="0" applyNumberFormat="1" applyFont="1" applyFill="1" applyAlignment="1"/>
    <xf numFmtId="15" fontId="33" fillId="3" borderId="0" xfId="0" applyNumberFormat="1" applyFont="1" applyFill="1" applyBorder="1" applyAlignment="1" applyProtection="1">
      <alignment horizontal="center"/>
      <protection locked="0"/>
    </xf>
    <xf numFmtId="15" fontId="33" fillId="3" borderId="0" xfId="0" applyNumberFormat="1" applyFont="1" applyFill="1" applyBorder="1" applyAlignment="1">
      <alignment horizontal="center"/>
    </xf>
    <xf numFmtId="3" fontId="2" fillId="3" borderId="0" xfId="0" applyNumberFormat="1" applyFont="1" applyFill="1" applyBorder="1" applyAlignment="1"/>
    <xf numFmtId="3" fontId="13" fillId="3" borderId="0" xfId="0" applyNumberFormat="1" applyFont="1" applyFill="1" applyBorder="1" applyAlignment="1"/>
    <xf numFmtId="0" fontId="2" fillId="3" borderId="22" xfId="0" applyNumberFormat="1" applyFont="1" applyFill="1" applyBorder="1" applyAlignment="1"/>
    <xf numFmtId="0" fontId="33" fillId="3" borderId="23" xfId="0" applyNumberFormat="1" applyFont="1" applyFill="1" applyBorder="1" applyAlignment="1"/>
    <xf numFmtId="3" fontId="33" fillId="3" borderId="23" xfId="0" applyNumberFormat="1" applyFont="1" applyFill="1" applyBorder="1" applyAlignment="1"/>
    <xf numFmtId="3" fontId="33" fillId="3" borderId="23" xfId="0" applyNumberFormat="1" applyFont="1" applyFill="1" applyBorder="1" applyAlignment="1" applyProtection="1">
      <alignment horizontal="right"/>
      <protection locked="0"/>
    </xf>
    <xf numFmtId="0" fontId="33" fillId="3" borderId="24" xfId="0" applyNumberFormat="1" applyFont="1" applyFill="1" applyBorder="1" applyAlignment="1"/>
    <xf numFmtId="0" fontId="33" fillId="3" borderId="23" xfId="0" applyNumberFormat="1" applyFont="1" applyFill="1" applyBorder="1" applyAlignment="1">
      <alignment horizontal="center" wrapText="1"/>
    </xf>
    <xf numFmtId="0" fontId="34" fillId="3" borderId="23" xfId="0" applyNumberFormat="1" applyFont="1" applyFill="1" applyBorder="1" applyAlignment="1"/>
    <xf numFmtId="0" fontId="1" fillId="3" borderId="23" xfId="0" applyNumberFormat="1" applyFont="1" applyFill="1" applyBorder="1" applyAlignment="1"/>
    <xf numFmtId="0" fontId="2" fillId="3" borderId="24" xfId="0" applyNumberFormat="1" applyFont="1" applyFill="1" applyBorder="1" applyAlignment="1"/>
    <xf numFmtId="0" fontId="10" fillId="3" borderId="22" xfId="0" applyNumberFormat="1" applyFont="1" applyFill="1" applyBorder="1" applyAlignment="1"/>
    <xf numFmtId="0" fontId="35" fillId="3" borderId="23" xfId="0" applyNumberFormat="1" applyFont="1" applyFill="1" applyBorder="1" applyAlignment="1"/>
    <xf numFmtId="0" fontId="36" fillId="3" borderId="23" xfId="0" applyNumberFormat="1" applyFont="1" applyFill="1" applyBorder="1" applyAlignment="1">
      <alignment horizontal="center" wrapText="1"/>
    </xf>
    <xf numFmtId="0" fontId="33" fillId="3" borderId="22" xfId="0" applyNumberFormat="1" applyFont="1" applyFill="1" applyBorder="1" applyAlignment="1"/>
    <xf numFmtId="0" fontId="31" fillId="3" borderId="23" xfId="0" applyNumberFormat="1" applyFont="1" applyFill="1" applyBorder="1" applyAlignment="1"/>
    <xf numFmtId="0" fontId="33" fillId="3" borderId="23" xfId="0" applyNumberFormat="1" applyFont="1" applyFill="1" applyBorder="1" applyAlignment="1">
      <alignment horizontal="center"/>
    </xf>
    <xf numFmtId="0" fontId="36" fillId="3" borderId="23" xfId="0" applyNumberFormat="1" applyFont="1" applyFill="1" applyBorder="1" applyAlignment="1"/>
    <xf numFmtId="164" fontId="33" fillId="3" borderId="23" xfId="0" applyNumberFormat="1" applyFont="1" applyFill="1" applyBorder="1" applyAlignment="1"/>
    <xf numFmtId="164" fontId="33" fillId="3" borderId="23" xfId="0" applyNumberFormat="1" applyFont="1" applyFill="1" applyBorder="1" applyAlignment="1">
      <alignment horizontal="center"/>
    </xf>
    <xf numFmtId="164" fontId="34" fillId="3" borderId="23" xfId="0" applyNumberFormat="1" applyFont="1" applyFill="1" applyBorder="1" applyAlignment="1"/>
    <xf numFmtId="3" fontId="33" fillId="3" borderId="24" xfId="0" applyNumberFormat="1" applyFont="1" applyFill="1" applyBorder="1" applyAlignment="1"/>
    <xf numFmtId="0" fontId="31" fillId="3" borderId="22" xfId="0" applyNumberFormat="1" applyFont="1" applyFill="1" applyBorder="1" applyAlignment="1"/>
    <xf numFmtId="164" fontId="31" fillId="3" borderId="23" xfId="0" applyNumberFormat="1" applyFont="1" applyFill="1" applyBorder="1" applyAlignment="1"/>
    <xf numFmtId="168" fontId="33" fillId="3" borderId="23" xfId="0" applyNumberFormat="1" applyFont="1" applyFill="1" applyBorder="1" applyAlignment="1">
      <alignment horizontal="center"/>
    </xf>
    <xf numFmtId="164" fontId="31" fillId="3" borderId="23" xfId="0" applyNumberFormat="1" applyFont="1" applyFill="1" applyBorder="1" applyAlignment="1">
      <alignment horizontal="center"/>
    </xf>
    <xf numFmtId="164" fontId="37" fillId="3" borderId="23" xfId="0" applyNumberFormat="1" applyFont="1" applyFill="1" applyBorder="1" applyAlignment="1"/>
    <xf numFmtId="164" fontId="35" fillId="3" borderId="23" xfId="0" applyNumberFormat="1" applyFont="1" applyFill="1" applyBorder="1" applyAlignment="1">
      <alignment horizontal="center"/>
    </xf>
    <xf numFmtId="168" fontId="31" fillId="3" borderId="23" xfId="0" applyNumberFormat="1" applyFont="1" applyFill="1" applyBorder="1" applyAlignment="1">
      <alignment horizontal="center"/>
    </xf>
    <xf numFmtId="164" fontId="36" fillId="3" borderId="23" xfId="0" applyNumberFormat="1" applyFont="1" applyFill="1" applyBorder="1" applyAlignment="1">
      <alignment horizontal="center"/>
    </xf>
    <xf numFmtId="0" fontId="18" fillId="3" borderId="23" xfId="0" applyNumberFormat="1" applyFont="1" applyFill="1" applyBorder="1" applyAlignment="1"/>
    <xf numFmtId="0" fontId="2" fillId="3" borderId="23" xfId="0" applyNumberFormat="1" applyFont="1" applyFill="1" applyBorder="1" applyAlignment="1"/>
    <xf numFmtId="170" fontId="18" fillId="3" borderId="23" xfId="0" applyNumberFormat="1" applyFont="1" applyFill="1" applyBorder="1" applyAlignment="1">
      <alignment horizontal="center"/>
    </xf>
    <xf numFmtId="169" fontId="18" fillId="3" borderId="23" xfId="0" applyNumberFormat="1" applyFont="1" applyFill="1" applyBorder="1" applyAlignment="1">
      <alignment horizontal="center"/>
    </xf>
    <xf numFmtId="0" fontId="2" fillId="3" borderId="23" xfId="0" applyNumberFormat="1" applyFont="1" applyFill="1" applyBorder="1" applyAlignment="1">
      <alignment horizontal="center"/>
    </xf>
    <xf numFmtId="10" fontId="2" fillId="3" borderId="23" xfId="0" applyNumberFormat="1" applyFont="1" applyFill="1" applyBorder="1" applyAlignment="1">
      <alignment horizontal="center"/>
    </xf>
    <xf numFmtId="165" fontId="2" fillId="3" borderId="23" xfId="0" applyNumberFormat="1" applyFont="1" applyFill="1" applyBorder="1" applyAlignment="1">
      <alignment horizontal="center"/>
    </xf>
    <xf numFmtId="10" fontId="33" fillId="3" borderId="23" xfId="0" applyNumberFormat="1" applyFont="1" applyFill="1" applyBorder="1" applyAlignment="1">
      <alignment horizontal="center"/>
    </xf>
    <xf numFmtId="165" fontId="33" fillId="3" borderId="23" xfId="0" applyNumberFormat="1" applyFont="1" applyFill="1" applyBorder="1" applyAlignment="1">
      <alignment horizontal="center"/>
    </xf>
    <xf numFmtId="167" fontId="33" fillId="3" borderId="23" xfId="0" applyNumberFormat="1" applyFont="1" applyFill="1" applyBorder="1" applyAlignment="1">
      <alignment horizontal="center"/>
    </xf>
    <xf numFmtId="0" fontId="33" fillId="3" borderId="23" xfId="0" applyNumberFormat="1" applyFont="1" applyFill="1" applyBorder="1" applyAlignment="1">
      <alignment horizontal="right"/>
    </xf>
    <xf numFmtId="4" fontId="33" fillId="3" borderId="23" xfId="0" applyNumberFormat="1" applyFont="1" applyFill="1" applyBorder="1" applyAlignment="1">
      <alignment horizontal="center"/>
    </xf>
    <xf numFmtId="0" fontId="31" fillId="3" borderId="23" xfId="0" applyNumberFormat="1" applyFont="1" applyFill="1" applyBorder="1" applyAlignment="1">
      <alignment horizontal="center"/>
    </xf>
    <xf numFmtId="15" fontId="31" fillId="3" borderId="23" xfId="0" applyNumberFormat="1" applyFont="1" applyFill="1" applyBorder="1" applyAlignment="1">
      <alignment horizontal="center"/>
    </xf>
    <xf numFmtId="15" fontId="31" fillId="3" borderId="23" xfId="0" applyNumberFormat="1" applyFont="1" applyFill="1" applyBorder="1" applyAlignment="1" applyProtection="1">
      <alignment horizontal="center"/>
      <protection locked="0"/>
    </xf>
    <xf numFmtId="15" fontId="33" fillId="3" borderId="23" xfId="0" applyNumberFormat="1" applyFont="1" applyFill="1" applyBorder="1" applyAlignment="1"/>
    <xf numFmtId="15" fontId="33" fillId="3" borderId="23" xfId="0" applyNumberFormat="1" applyFont="1" applyFill="1" applyBorder="1" applyAlignment="1" applyProtection="1">
      <alignment horizontal="center"/>
      <protection locked="0"/>
    </xf>
    <xf numFmtId="15" fontId="33" fillId="3" borderId="23" xfId="0" applyNumberFormat="1" applyFont="1" applyFill="1" applyBorder="1" applyAlignment="1">
      <alignment horizontal="center"/>
    </xf>
    <xf numFmtId="3" fontId="33" fillId="3" borderId="0" xfId="0" applyNumberFormat="1" applyFont="1" applyFill="1" applyBorder="1" applyAlignment="1"/>
    <xf numFmtId="167" fontId="33" fillId="3" borderId="23" xfId="0" applyNumberFormat="1" applyFont="1" applyFill="1" applyBorder="1" applyAlignment="1">
      <alignment horizontal="right"/>
    </xf>
    <xf numFmtId="0" fontId="20" fillId="3" borderId="23" xfId="0" applyNumberFormat="1" applyFont="1" applyFill="1" applyBorder="1" applyAlignment="1"/>
    <xf numFmtId="3" fontId="2" fillId="3" borderId="23" xfId="0" applyNumberFormat="1" applyFont="1" applyFill="1" applyBorder="1" applyAlignment="1"/>
    <xf numFmtId="3" fontId="13" fillId="3" borderId="23" xfId="0" applyNumberFormat="1" applyFont="1" applyFill="1" applyBorder="1" applyAlignment="1" applyProtection="1">
      <alignment horizontal="right"/>
      <protection locked="0"/>
    </xf>
    <xf numFmtId="4" fontId="13" fillId="3" borderId="23" xfId="0" applyNumberFormat="1" applyFont="1" applyFill="1" applyBorder="1" applyAlignment="1" applyProtection="1">
      <alignment horizontal="right"/>
      <protection locked="0"/>
    </xf>
    <xf numFmtId="4" fontId="33" fillId="3" borderId="23" xfId="0" applyNumberFormat="1" applyFont="1" applyFill="1" applyBorder="1" applyAlignment="1" applyProtection="1">
      <alignment horizontal="right"/>
      <protection locked="0"/>
    </xf>
    <xf numFmtId="2" fontId="33" fillId="3" borderId="23" xfId="0" applyNumberFormat="1" applyFont="1" applyFill="1" applyBorder="1" applyAlignment="1" applyProtection="1">
      <alignment horizontal="right"/>
      <protection locked="0"/>
    </xf>
    <xf numFmtId="0" fontId="2" fillId="3" borderId="25" xfId="0" applyNumberFormat="1" applyFont="1" applyFill="1" applyBorder="1" applyAlignment="1"/>
    <xf numFmtId="0" fontId="33" fillId="3" borderId="26" xfId="0" applyNumberFormat="1" applyFont="1" applyFill="1" applyBorder="1" applyAlignment="1"/>
    <xf numFmtId="0" fontId="33" fillId="3" borderId="27" xfId="0" applyNumberFormat="1" applyFont="1" applyFill="1" applyBorder="1" applyAlignment="1"/>
    <xf numFmtId="4" fontId="33" fillId="3" borderId="0" xfId="0" applyNumberFormat="1" applyFont="1" applyFill="1" applyBorder="1" applyAlignment="1" applyProtection="1">
      <alignment horizontal="right"/>
      <protection locked="0"/>
    </xf>
    <xf numFmtId="0" fontId="33" fillId="3" borderId="0" xfId="0" applyNumberFormat="1" applyFont="1" applyFill="1" applyBorder="1" applyAlignment="1" applyProtection="1">
      <protection locked="0"/>
    </xf>
    <xf numFmtId="0" fontId="13" fillId="3" borderId="22" xfId="0" applyNumberFormat="1" applyFont="1" applyFill="1" applyBorder="1" applyAlignment="1"/>
    <xf numFmtId="15" fontId="31" fillId="3" borderId="23" xfId="0" applyNumberFormat="1" applyFont="1" applyFill="1" applyBorder="1" applyAlignment="1">
      <alignment horizontal="centerContinuous"/>
    </xf>
    <xf numFmtId="17" fontId="33" fillId="3" borderId="23" xfId="0" applyNumberFormat="1" applyFont="1" applyFill="1" applyBorder="1" applyAlignment="1">
      <alignment horizontal="center"/>
    </xf>
    <xf numFmtId="0" fontId="13" fillId="3" borderId="3" xfId="0" applyNumberFormat="1" applyFont="1" applyFill="1" applyBorder="1" applyAlignment="1">
      <alignment horizontal="right"/>
    </xf>
    <xf numFmtId="0" fontId="13" fillId="3" borderId="0" xfId="0" applyNumberFormat="1" applyFont="1" applyFill="1" applyBorder="1" applyAlignment="1"/>
    <xf numFmtId="0" fontId="13" fillId="3" borderId="0" xfId="0" applyNumberFormat="1" applyFont="1" applyFill="1" applyBorder="1" applyAlignment="1">
      <alignment horizontal="right"/>
    </xf>
    <xf numFmtId="10" fontId="13" fillId="3" borderId="0" xfId="0" applyNumberFormat="1" applyFont="1" applyFill="1" applyBorder="1" applyAlignment="1" applyProtection="1">
      <alignment horizontal="center"/>
      <protection locked="0"/>
    </xf>
    <xf numFmtId="0" fontId="2" fillId="3" borderId="0" xfId="0" applyNumberFormat="1" applyFont="1" applyFill="1" applyBorder="1" applyAlignment="1" applyProtection="1">
      <protection locked="0"/>
    </xf>
    <xf numFmtId="0" fontId="16" fillId="3" borderId="0" xfId="0" applyNumberFormat="1" applyFont="1" applyFill="1" applyBorder="1" applyAlignment="1"/>
    <xf numFmtId="0" fontId="13" fillId="3" borderId="22" xfId="0" applyNumberFormat="1" applyFont="1" applyFill="1" applyBorder="1" applyAlignment="1">
      <alignment horizontal="right"/>
    </xf>
    <xf numFmtId="3" fontId="33" fillId="3" borderId="23" xfId="0" applyNumberFormat="1" applyFont="1" applyFill="1" applyBorder="1" applyAlignment="1" applyProtection="1">
      <alignment horizontal="center"/>
      <protection locked="0"/>
    </xf>
    <xf numFmtId="0" fontId="33" fillId="3" borderId="23" xfId="0" applyNumberFormat="1" applyFont="1" applyFill="1" applyBorder="1" applyAlignment="1" applyProtection="1">
      <protection locked="0"/>
    </xf>
    <xf numFmtId="3" fontId="31" fillId="3" borderId="24" xfId="0" applyNumberFormat="1" applyFont="1" applyFill="1" applyBorder="1" applyAlignment="1"/>
    <xf numFmtId="3" fontId="33" fillId="3" borderId="23" xfId="0" applyNumberFormat="1" applyFont="1" applyFill="1" applyBorder="1" applyAlignment="1">
      <alignment horizontal="center"/>
    </xf>
    <xf numFmtId="3" fontId="13" fillId="3" borderId="23" xfId="0" applyNumberFormat="1" applyFont="1" applyFill="1" applyBorder="1" applyAlignment="1"/>
    <xf numFmtId="3" fontId="13" fillId="3" borderId="23" xfId="0" applyNumberFormat="1" applyFont="1" applyFill="1" applyBorder="1" applyAlignment="1" applyProtection="1">
      <alignment horizontal="center"/>
      <protection locked="0"/>
    </xf>
    <xf numFmtId="0" fontId="2" fillId="3" borderId="23" xfId="0" applyNumberFormat="1" applyFont="1" applyFill="1" applyBorder="1" applyAlignment="1" applyProtection="1">
      <protection locked="0"/>
    </xf>
    <xf numFmtId="3" fontId="16" fillId="3" borderId="24" xfId="0" applyNumberFormat="1" applyFont="1" applyFill="1" applyBorder="1" applyAlignment="1"/>
    <xf numFmtId="4" fontId="33" fillId="3" borderId="23" xfId="0" applyNumberFormat="1" applyFont="1" applyFill="1" applyBorder="1" applyAlignment="1" applyProtection="1">
      <alignment horizontal="center"/>
      <protection locked="0"/>
    </xf>
    <xf numFmtId="0" fontId="13" fillId="3" borderId="22" xfId="0" applyNumberFormat="1" applyFont="1" applyFill="1" applyBorder="1" applyAlignment="1">
      <alignment horizontal="center"/>
    </xf>
    <xf numFmtId="0" fontId="13" fillId="3" borderId="23" xfId="0" applyNumberFormat="1" applyFont="1" applyFill="1" applyBorder="1" applyAlignment="1"/>
    <xf numFmtId="0" fontId="16" fillId="3" borderId="24" xfId="0" applyNumberFormat="1" applyFont="1" applyFill="1" applyBorder="1" applyAlignment="1"/>
    <xf numFmtId="0" fontId="35" fillId="3" borderId="23" xfId="0" applyNumberFormat="1" applyFont="1" applyFill="1" applyBorder="1" applyAlignment="1">
      <alignment horizontal="center"/>
    </xf>
    <xf numFmtId="3" fontId="35" fillId="3" borderId="23" xfId="0" applyNumberFormat="1" applyFont="1" applyFill="1" applyBorder="1" applyAlignment="1" applyProtection="1">
      <alignment horizontal="center"/>
      <protection locked="0"/>
    </xf>
    <xf numFmtId="3" fontId="35" fillId="3" borderId="23" xfId="0" applyNumberFormat="1" applyFont="1" applyFill="1" applyBorder="1" applyAlignment="1"/>
    <xf numFmtId="0" fontId="33" fillId="3" borderId="22" xfId="0" applyNumberFormat="1" applyFont="1" applyFill="1" applyBorder="1" applyAlignment="1">
      <alignment horizontal="center"/>
    </xf>
    <xf numFmtId="0" fontId="33" fillId="3" borderId="22" xfId="0" applyNumberFormat="1" applyFont="1" applyFill="1" applyBorder="1" applyAlignment="1">
      <alignment horizontal="right"/>
    </xf>
    <xf numFmtId="0" fontId="13" fillId="3" borderId="23" xfId="0" applyNumberFormat="1" applyFont="1" applyFill="1" applyBorder="1" applyAlignment="1">
      <alignment horizontal="right"/>
    </xf>
    <xf numFmtId="10" fontId="13" fillId="3" borderId="23" xfId="0" applyNumberFormat="1" applyFont="1" applyFill="1" applyBorder="1" applyAlignment="1" applyProtection="1">
      <alignment horizontal="center"/>
      <protection locked="0"/>
    </xf>
    <xf numFmtId="0" fontId="26" fillId="3" borderId="23" xfId="0" applyNumberFormat="1" applyFont="1" applyFill="1" applyBorder="1" applyAlignment="1"/>
    <xf numFmtId="10" fontId="26" fillId="3" borderId="23" xfId="1" applyNumberFormat="1" applyFont="1" applyFill="1" applyBorder="1" applyAlignment="1">
      <alignment horizontal="left"/>
      <protection locked="0"/>
    </xf>
    <xf numFmtId="9" fontId="33" fillId="3" borderId="0" xfId="0" applyNumberFormat="1" applyFont="1" applyFill="1" applyBorder="1" applyAlignment="1"/>
    <xf numFmtId="10" fontId="33" fillId="3" borderId="0" xfId="0" applyNumberFormat="1" applyFont="1" applyFill="1" applyBorder="1" applyAlignment="1"/>
    <xf numFmtId="166" fontId="33" fillId="3" borderId="23" xfId="0" applyNumberFormat="1" applyFont="1" applyFill="1" applyBorder="1" applyAlignment="1"/>
    <xf numFmtId="10" fontId="33" fillId="3" borderId="23" xfId="0" applyNumberFormat="1" applyFont="1" applyFill="1" applyBorder="1" applyAlignment="1"/>
    <xf numFmtId="0" fontId="31" fillId="3" borderId="24" xfId="0" applyNumberFormat="1" applyFont="1" applyFill="1" applyBorder="1" applyAlignment="1"/>
    <xf numFmtId="9" fontId="33" fillId="3" borderId="23" xfId="0" applyNumberFormat="1" applyFont="1" applyFill="1" applyBorder="1" applyAlignment="1"/>
    <xf numFmtId="3" fontId="36" fillId="3" borderId="23" xfId="0" applyNumberFormat="1" applyFont="1" applyFill="1" applyBorder="1" applyAlignment="1"/>
    <xf numFmtId="3" fontId="31" fillId="3" borderId="23" xfId="0" applyNumberFormat="1" applyFont="1" applyFill="1" applyBorder="1" applyAlignment="1" applyProtection="1">
      <alignment horizontal="right"/>
      <protection locked="0"/>
    </xf>
    <xf numFmtId="0" fontId="39" fillId="4" borderId="3" xfId="0" applyNumberFormat="1" applyFont="1" applyFill="1" applyBorder="1" applyAlignment="1"/>
    <xf numFmtId="0" fontId="39" fillId="4" borderId="0" xfId="0" applyNumberFormat="1" applyFont="1" applyFill="1" applyAlignment="1"/>
    <xf numFmtId="0" fontId="40" fillId="4" borderId="0" xfId="0" applyNumberFormat="1" applyFont="1" applyFill="1" applyAlignment="1">
      <alignment horizontal="center" wrapText="1"/>
    </xf>
    <xf numFmtId="0" fontId="41" fillId="4" borderId="0" xfId="0" applyNumberFormat="1" applyFont="1" applyFill="1" applyAlignment="1">
      <alignment horizontal="center" wrapText="1"/>
    </xf>
    <xf numFmtId="0" fontId="39" fillId="4" borderId="0" xfId="0" applyNumberFormat="1" applyFont="1" applyFill="1" applyAlignment="1">
      <alignment horizontal="center" wrapText="1"/>
    </xf>
    <xf numFmtId="0" fontId="42" fillId="4" borderId="0" xfId="0" applyNumberFormat="1" applyFont="1" applyFill="1" applyAlignment="1"/>
    <xf numFmtId="4" fontId="39" fillId="4" borderId="0" xfId="0" applyNumberFormat="1" applyFont="1" applyFill="1" applyAlignment="1" applyProtection="1">
      <alignment horizontal="right"/>
      <protection locked="0"/>
    </xf>
    <xf numFmtId="0" fontId="43" fillId="4" borderId="0" xfId="0" applyNumberFormat="1" applyFont="1" applyFill="1" applyAlignment="1"/>
    <xf numFmtId="0" fontId="43" fillId="4" borderId="0" xfId="0" applyNumberFormat="1" applyFont="1" applyFill="1" applyAlignment="1">
      <alignment horizontal="right"/>
    </xf>
    <xf numFmtId="0" fontId="43" fillId="4" borderId="0" xfId="0" applyNumberFormat="1" applyFont="1" applyFill="1" applyAlignment="1">
      <alignment horizontal="center"/>
    </xf>
    <xf numFmtId="15" fontId="43" fillId="4" borderId="0" xfId="0" applyNumberFormat="1" applyFont="1" applyFill="1" applyAlignment="1">
      <alignment horizontal="right"/>
    </xf>
    <xf numFmtId="0" fontId="39" fillId="4" borderId="1" xfId="0" applyNumberFormat="1" applyFont="1" applyFill="1" applyBorder="1" applyAlignment="1"/>
    <xf numFmtId="0" fontId="39" fillId="4" borderId="2" xfId="0" applyNumberFormat="1" applyFont="1" applyFill="1" applyBorder="1" applyAlignment="1"/>
    <xf numFmtId="4" fontId="39" fillId="4" borderId="2" xfId="0" applyNumberFormat="1" applyFont="1" applyFill="1" applyBorder="1" applyAlignment="1" applyProtection="1">
      <alignment horizontal="right"/>
      <protection locked="0"/>
    </xf>
    <xf numFmtId="0" fontId="43" fillId="4" borderId="2" xfId="0" applyNumberFormat="1" applyFont="1" applyFill="1" applyBorder="1" applyAlignment="1"/>
    <xf numFmtId="15" fontId="43" fillId="4" borderId="2" xfId="0" applyNumberFormat="1" applyFont="1" applyFill="1" applyBorder="1" applyAlignment="1">
      <alignment horizontal="centerContinuous"/>
    </xf>
    <xf numFmtId="15" fontId="43" fillId="4" borderId="2" xfId="0" applyNumberFormat="1" applyFont="1" applyFill="1" applyBorder="1" applyAlignment="1">
      <alignment horizontal="center"/>
    </xf>
    <xf numFmtId="0" fontId="39" fillId="4" borderId="3" xfId="0" applyNumberFormat="1" applyFont="1" applyFill="1" applyBorder="1" applyAlignment="1">
      <alignment horizontal="right"/>
    </xf>
    <xf numFmtId="3" fontId="43" fillId="4" borderId="0" xfId="0" applyNumberFormat="1" applyFont="1" applyFill="1" applyAlignment="1">
      <alignment horizontal="center"/>
    </xf>
    <xf numFmtId="0" fontId="39" fillId="4" borderId="0" xfId="0" applyNumberFormat="1" applyFont="1" applyFill="1" applyBorder="1" applyAlignment="1"/>
    <xf numFmtId="0" fontId="39" fillId="4" borderId="28" xfId="0" applyNumberFormat="1" applyFont="1" applyFill="1" applyBorder="1" applyAlignment="1"/>
    <xf numFmtId="9" fontId="39" fillId="4" borderId="0" xfId="0" applyNumberFormat="1" applyFont="1" applyFill="1" applyBorder="1" applyAlignment="1"/>
    <xf numFmtId="3" fontId="43" fillId="4" borderId="0" xfId="0" applyNumberFormat="1" applyFont="1" applyFill="1" applyAlignment="1">
      <alignment horizontal="right"/>
    </xf>
    <xf numFmtId="0" fontId="26" fillId="3" borderId="0" xfId="0" applyNumberFormat="1" applyFont="1" applyFill="1" applyBorder="1" applyAlignment="1"/>
    <xf numFmtId="10" fontId="26" fillId="3" borderId="0" xfId="1" applyNumberFormat="1" applyFont="1" applyFill="1" applyBorder="1" applyAlignment="1">
      <alignment horizontal="left"/>
      <protection locked="0"/>
    </xf>
    <xf numFmtId="0" fontId="9" fillId="3" borderId="29" xfId="0" applyNumberFormat="1" applyFont="1" applyFill="1" applyBorder="1" applyAlignment="1"/>
    <xf numFmtId="0" fontId="31" fillId="3" borderId="23" xfId="0" applyNumberFormat="1" applyFont="1" applyFill="1" applyBorder="1" applyAlignment="1">
      <alignment horizontal="center" wrapText="1"/>
    </xf>
    <xf numFmtId="0" fontId="40" fillId="4" borderId="0" xfId="0" applyNumberFormat="1" applyFont="1" applyFill="1" applyAlignment="1"/>
    <xf numFmtId="0" fontId="40" fillId="4" borderId="0" xfId="0" applyNumberFormat="1" applyFont="1" applyFill="1" applyAlignment="1">
      <alignment horizontal="right"/>
    </xf>
    <xf numFmtId="0" fontId="40" fillId="4" borderId="0" xfId="0" applyNumberFormat="1" applyFont="1" applyFill="1" applyAlignment="1">
      <alignment horizontal="center"/>
    </xf>
    <xf numFmtId="15" fontId="40" fillId="4" borderId="0" xfId="0" applyNumberFormat="1" applyFont="1" applyFill="1" applyAlignment="1">
      <alignment horizontal="right"/>
    </xf>
    <xf numFmtId="0" fontId="40" fillId="4" borderId="2" xfId="0" applyNumberFormat="1" applyFont="1" applyFill="1" applyBorder="1" applyAlignment="1"/>
    <xf numFmtId="15" fontId="40" fillId="4" borderId="2" xfId="0" applyNumberFormat="1" applyFont="1" applyFill="1" applyBorder="1" applyAlignment="1">
      <alignment horizontal="centerContinuous"/>
    </xf>
    <xf numFmtId="15" fontId="40" fillId="4" borderId="2" xfId="0" applyNumberFormat="1" applyFont="1" applyFill="1" applyBorder="1" applyAlignment="1">
      <alignment horizontal="center"/>
    </xf>
    <xf numFmtId="3" fontId="40" fillId="4" borderId="0" xfId="0" applyNumberFormat="1" applyFont="1" applyFill="1" applyAlignment="1">
      <alignment horizontal="center"/>
    </xf>
    <xf numFmtId="3" fontId="40" fillId="4" borderId="0" xfId="0" applyNumberFormat="1" applyFont="1" applyFill="1" applyAlignment="1">
      <alignment horizontal="right"/>
    </xf>
    <xf numFmtId="3" fontId="31" fillId="3" borderId="23" xfId="0" applyNumberFormat="1" applyFont="1" applyFill="1" applyBorder="1" applyAlignment="1"/>
    <xf numFmtId="10" fontId="33" fillId="3" borderId="23" xfId="0" applyNumberFormat="1" applyFont="1" applyFill="1" applyBorder="1" applyAlignment="1" applyProtection="1">
      <protection locked="0"/>
    </xf>
    <xf numFmtId="0" fontId="44" fillId="5" borderId="0" xfId="1" applyNumberFormat="1" applyFont="1" applyFill="1" applyAlignment="1" applyProtection="1"/>
    <xf numFmtId="0" fontId="45" fillId="3" borderId="1" xfId="0" applyNumberFormat="1" applyFont="1" applyFill="1" applyBorder="1" applyAlignment="1"/>
    <xf numFmtId="0" fontId="46" fillId="3" borderId="2" xfId="0" applyNumberFormat="1" applyFont="1" applyFill="1" applyBorder="1" applyAlignment="1"/>
    <xf numFmtId="0" fontId="45" fillId="3" borderId="2" xfId="0" applyNumberFormat="1" applyFont="1" applyFill="1" applyBorder="1" applyAlignment="1"/>
    <xf numFmtId="0" fontId="45" fillId="0" borderId="3" xfId="0" applyNumberFormat="1" applyFont="1" applyBorder="1"/>
    <xf numFmtId="0" fontId="45" fillId="0" borderId="0" xfId="0" applyNumberFormat="1" applyFont="1" applyAlignment="1"/>
    <xf numFmtId="0" fontId="45" fillId="3" borderId="3" xfId="0" applyNumberFormat="1" applyFont="1" applyFill="1" applyBorder="1" applyAlignment="1"/>
    <xf numFmtId="0" fontId="47" fillId="3" borderId="0" xfId="0" applyNumberFormat="1" applyFont="1" applyFill="1" applyAlignment="1"/>
    <xf numFmtId="0" fontId="45" fillId="3" borderId="0" xfId="0" applyNumberFormat="1" applyFont="1" applyFill="1" applyAlignment="1"/>
    <xf numFmtId="0" fontId="45" fillId="3" borderId="3" xfId="0" applyNumberFormat="1" applyFont="1" applyFill="1" applyBorder="1" applyAlignment="1">
      <alignment horizontal="center"/>
    </xf>
    <xf numFmtId="0" fontId="48" fillId="3" borderId="0" xfId="0" applyNumberFormat="1" applyFont="1" applyFill="1" applyAlignment="1"/>
    <xf numFmtId="0" fontId="49" fillId="3" borderId="0" xfId="0" applyNumberFormat="1" applyFont="1" applyFill="1" applyAlignment="1"/>
    <xf numFmtId="0" fontId="50" fillId="3" borderId="0" xfId="0" applyNumberFormat="1" applyFont="1" applyFill="1" applyAlignment="1"/>
    <xf numFmtId="0" fontId="51" fillId="3" borderId="0" xfId="0" applyNumberFormat="1" applyFont="1" applyFill="1" applyAlignment="1"/>
    <xf numFmtId="0" fontId="52" fillId="3" borderId="0" xfId="1" applyNumberFormat="1" applyFont="1" applyFill="1" applyAlignment="1" applyProtection="1"/>
    <xf numFmtId="0" fontId="53" fillId="3" borderId="0" xfId="0" applyNumberFormat="1" applyFont="1" applyFill="1" applyAlignment="1"/>
    <xf numFmtId="0" fontId="54" fillId="3" borderId="0" xfId="0" applyNumberFormat="1" applyFont="1" applyFill="1" applyAlignment="1"/>
    <xf numFmtId="0" fontId="55" fillId="3" borderId="3" xfId="0" applyNumberFormat="1" applyFont="1" applyFill="1" applyBorder="1" applyAlignment="1"/>
    <xf numFmtId="0" fontId="55" fillId="3" borderId="0" xfId="0" applyNumberFormat="1" applyFont="1" applyFill="1" applyAlignment="1"/>
    <xf numFmtId="0" fontId="56" fillId="3" borderId="0" xfId="0" applyNumberFormat="1" applyFont="1" applyFill="1" applyAlignment="1">
      <alignment horizontal="center" wrapText="1"/>
    </xf>
    <xf numFmtId="0" fontId="55" fillId="0" borderId="3" xfId="0" applyNumberFormat="1" applyFont="1" applyBorder="1"/>
    <xf numFmtId="0" fontId="55" fillId="0" borderId="0" xfId="0" applyNumberFormat="1" applyFont="1" applyAlignment="1"/>
    <xf numFmtId="9" fontId="54" fillId="3" borderId="0" xfId="0" applyNumberFormat="1" applyFont="1" applyFill="1" applyAlignment="1">
      <alignment horizontal="center"/>
    </xf>
    <xf numFmtId="10" fontId="54" fillId="3" borderId="0" xfId="0" applyNumberFormat="1" applyFont="1" applyFill="1" applyAlignment="1">
      <alignment horizontal="center"/>
    </xf>
    <xf numFmtId="0" fontId="54" fillId="3" borderId="0" xfId="0" applyNumberFormat="1" applyFont="1" applyFill="1" applyAlignment="1">
      <alignment horizontal="center"/>
    </xf>
    <xf numFmtId="15" fontId="54" fillId="3" borderId="0" xfId="0" applyNumberFormat="1" applyFont="1" applyFill="1" applyAlignment="1">
      <alignment horizontal="center"/>
    </xf>
    <xf numFmtId="0" fontId="55" fillId="3" borderId="0" xfId="0" applyNumberFormat="1" applyFont="1" applyFill="1" applyAlignment="1">
      <alignment horizontal="center"/>
    </xf>
    <xf numFmtId="0" fontId="56" fillId="3" borderId="0" xfId="0" applyNumberFormat="1" applyFont="1" applyFill="1" applyAlignment="1"/>
    <xf numFmtId="0" fontId="45" fillId="3" borderId="0" xfId="0" applyNumberFormat="1" applyFont="1" applyFill="1" applyAlignment="1">
      <alignment horizontal="right"/>
    </xf>
    <xf numFmtId="0" fontId="55" fillId="3" borderId="22" xfId="0" applyNumberFormat="1" applyFont="1" applyFill="1" applyBorder="1" applyAlignment="1"/>
    <xf numFmtId="0" fontId="55" fillId="3" borderId="23" xfId="0" applyNumberFormat="1" applyFont="1" applyFill="1" applyBorder="1" applyAlignment="1"/>
    <xf numFmtId="0" fontId="55" fillId="3" borderId="23" xfId="0" applyNumberFormat="1" applyFont="1" applyFill="1" applyBorder="1" applyAlignment="1">
      <alignment horizontal="center" wrapText="1"/>
    </xf>
    <xf numFmtId="0" fontId="55" fillId="3" borderId="24" xfId="0" applyNumberFormat="1" applyFont="1" applyFill="1" applyBorder="1" applyAlignment="1"/>
    <xf numFmtId="0" fontId="54" fillId="3" borderId="22" xfId="0" applyNumberFormat="1" applyFont="1" applyFill="1" applyBorder="1" applyAlignment="1"/>
    <xf numFmtId="0" fontId="54" fillId="3" borderId="23" xfId="0" applyNumberFormat="1" applyFont="1" applyFill="1" applyBorder="1" applyAlignment="1">
      <alignment horizontal="center" wrapText="1"/>
    </xf>
    <xf numFmtId="0" fontId="54" fillId="3" borderId="23" xfId="0" applyNumberFormat="1" applyFont="1" applyFill="1" applyBorder="1" applyAlignment="1"/>
    <xf numFmtId="0" fontId="55" fillId="3" borderId="23" xfId="0" applyNumberFormat="1" applyFont="1" applyFill="1" applyBorder="1" applyAlignment="1">
      <alignment horizontal="center"/>
    </xf>
    <xf numFmtId="164" fontId="55" fillId="3" borderId="23" xfId="0" applyNumberFormat="1" applyFont="1" applyFill="1" applyBorder="1" applyAlignment="1"/>
    <xf numFmtId="164" fontId="55" fillId="3" borderId="23" xfId="0" applyNumberFormat="1" applyFont="1" applyFill="1" applyBorder="1" applyAlignment="1">
      <alignment horizontal="center"/>
    </xf>
    <xf numFmtId="3" fontId="55" fillId="3" borderId="24" xfId="0" applyNumberFormat="1" applyFont="1" applyFill="1" applyBorder="1" applyAlignment="1"/>
    <xf numFmtId="164" fontId="54" fillId="3" borderId="23" xfId="0" applyNumberFormat="1" applyFont="1" applyFill="1" applyBorder="1" applyAlignment="1"/>
    <xf numFmtId="168" fontId="55" fillId="3" borderId="23" xfId="0" applyNumberFormat="1" applyFont="1" applyFill="1" applyBorder="1" applyAlignment="1">
      <alignment horizontal="center"/>
    </xf>
    <xf numFmtId="164" fontId="54" fillId="3" borderId="23" xfId="0" applyNumberFormat="1" applyFont="1" applyFill="1" applyBorder="1" applyAlignment="1">
      <alignment horizontal="center"/>
    </xf>
    <xf numFmtId="168" fontId="54" fillId="3" borderId="23" xfId="0" applyNumberFormat="1" applyFont="1" applyFill="1" applyBorder="1" applyAlignment="1">
      <alignment horizontal="center"/>
    </xf>
    <xf numFmtId="0" fontId="45" fillId="3" borderId="22" xfId="0" applyNumberFormat="1" applyFont="1" applyFill="1" applyBorder="1" applyAlignment="1"/>
    <xf numFmtId="0" fontId="45" fillId="3" borderId="23" xfId="0" applyNumberFormat="1" applyFont="1" applyFill="1" applyBorder="1" applyAlignment="1"/>
    <xf numFmtId="0" fontId="45" fillId="3" borderId="23" xfId="0" applyNumberFormat="1" applyFont="1" applyFill="1" applyBorder="1" applyAlignment="1">
      <alignment horizontal="center"/>
    </xf>
    <xf numFmtId="0" fontId="45" fillId="3" borderId="24" xfId="0" applyNumberFormat="1" applyFont="1" applyFill="1" applyBorder="1" applyAlignment="1"/>
    <xf numFmtId="10" fontId="55" fillId="3" borderId="23" xfId="0" applyNumberFormat="1" applyFont="1" applyFill="1" applyBorder="1" applyAlignment="1">
      <alignment horizontal="center"/>
    </xf>
    <xf numFmtId="165" fontId="55" fillId="3" borderId="23" xfId="0" applyNumberFormat="1" applyFont="1" applyFill="1" applyBorder="1" applyAlignment="1">
      <alignment horizontal="center"/>
    </xf>
    <xf numFmtId="167" fontId="55" fillId="3" borderId="23" xfId="0" applyNumberFormat="1" applyFont="1" applyFill="1" applyBorder="1" applyAlignment="1">
      <alignment horizontal="center"/>
    </xf>
    <xf numFmtId="0" fontId="55" fillId="3" borderId="23" xfId="0" applyNumberFormat="1" applyFont="1" applyFill="1" applyBorder="1" applyAlignment="1">
      <alignment horizontal="right"/>
    </xf>
    <xf numFmtId="4" fontId="55" fillId="3" borderId="23" xfId="0" applyNumberFormat="1" applyFont="1" applyFill="1" applyBorder="1" applyAlignment="1">
      <alignment horizontal="center"/>
    </xf>
    <xf numFmtId="0" fontId="54" fillId="3" borderId="23" xfId="0" applyNumberFormat="1" applyFont="1" applyFill="1" applyBorder="1" applyAlignment="1">
      <alignment horizontal="center"/>
    </xf>
    <xf numFmtId="15" fontId="54" fillId="3" borderId="23" xfId="0" applyNumberFormat="1" applyFont="1" applyFill="1" applyBorder="1" applyAlignment="1">
      <alignment horizontal="center"/>
    </xf>
    <xf numFmtId="15" fontId="54" fillId="3" borderId="23" xfId="0" applyNumberFormat="1" applyFont="1" applyFill="1" applyBorder="1" applyAlignment="1" applyProtection="1">
      <alignment horizontal="center"/>
      <protection locked="0"/>
    </xf>
    <xf numFmtId="15" fontId="55" fillId="3" borderId="23" xfId="0" applyNumberFormat="1" applyFont="1" applyFill="1" applyBorder="1" applyAlignment="1"/>
    <xf numFmtId="15" fontId="55" fillId="3" borderId="23" xfId="0" applyNumberFormat="1" applyFont="1" applyFill="1" applyBorder="1" applyAlignment="1" applyProtection="1">
      <alignment horizontal="center"/>
      <protection locked="0"/>
    </xf>
    <xf numFmtId="15" fontId="55" fillId="3" borderId="23" xfId="0" applyNumberFormat="1" applyFont="1" applyFill="1" applyBorder="1" applyAlignment="1">
      <alignment horizontal="center"/>
    </xf>
    <xf numFmtId="0" fontId="55" fillId="0" borderId="0" xfId="0" applyNumberFormat="1" applyFont="1" applyFill="1" applyBorder="1" applyAlignment="1"/>
    <xf numFmtId="0" fontId="55" fillId="3" borderId="0" xfId="0" applyNumberFormat="1" applyFont="1" applyFill="1" applyBorder="1" applyAlignment="1"/>
    <xf numFmtId="15" fontId="55" fillId="3" borderId="0" xfId="0" applyNumberFormat="1" applyFont="1" applyFill="1" applyBorder="1" applyAlignment="1" applyProtection="1">
      <alignment horizontal="center"/>
      <protection locked="0"/>
    </xf>
    <xf numFmtId="15" fontId="55" fillId="3" borderId="0" xfId="0" applyNumberFormat="1" applyFont="1" applyFill="1" applyBorder="1" applyAlignment="1">
      <alignment horizontal="center"/>
    </xf>
    <xf numFmtId="15" fontId="55" fillId="3" borderId="0" xfId="0" applyNumberFormat="1" applyFont="1" applyFill="1" applyAlignment="1" applyProtection="1">
      <alignment horizontal="center"/>
      <protection locked="0"/>
    </xf>
    <xf numFmtId="15" fontId="55" fillId="3" borderId="0" xfId="0" applyNumberFormat="1" applyFont="1" applyFill="1" applyAlignment="1">
      <alignment horizontal="center"/>
    </xf>
    <xf numFmtId="0" fontId="55" fillId="3" borderId="6" xfId="0" applyNumberFormat="1" applyFont="1" applyFill="1" applyBorder="1" applyAlignment="1"/>
    <xf numFmtId="0" fontId="59" fillId="3" borderId="7" xfId="0" applyNumberFormat="1" applyFont="1" applyFill="1" applyBorder="1" applyAlignment="1"/>
    <xf numFmtId="0" fontId="55" fillId="3" borderId="7" xfId="0" applyNumberFormat="1" applyFont="1" applyFill="1" applyBorder="1" applyAlignment="1"/>
    <xf numFmtId="0" fontId="55" fillId="3" borderId="7" xfId="0" applyNumberFormat="1" applyFont="1" applyFill="1" applyBorder="1" applyAlignment="1" applyProtection="1">
      <alignment horizontal="right"/>
      <protection locked="0"/>
    </xf>
    <xf numFmtId="0" fontId="55" fillId="3" borderId="8" xfId="0" applyNumberFormat="1" applyFont="1" applyFill="1" applyBorder="1" applyAlignment="1"/>
    <xf numFmtId="4" fontId="45" fillId="3" borderId="0" xfId="0" applyNumberFormat="1" applyFont="1" applyFill="1" applyAlignment="1" applyProtection="1">
      <alignment horizontal="right"/>
      <protection locked="0"/>
    </xf>
    <xf numFmtId="3" fontId="55" fillId="3" borderId="23" xfId="0" applyNumberFormat="1" applyFont="1" applyFill="1" applyBorder="1" applyAlignment="1"/>
    <xf numFmtId="3" fontId="55" fillId="3" borderId="23" xfId="0" applyNumberFormat="1" applyFont="1" applyFill="1" applyBorder="1" applyAlignment="1" applyProtection="1">
      <alignment horizontal="right"/>
      <protection locked="0"/>
    </xf>
    <xf numFmtId="0" fontId="45" fillId="3" borderId="0" xfId="0" applyNumberFormat="1" applyFont="1" applyFill="1" applyBorder="1" applyAlignment="1"/>
    <xf numFmtId="3" fontId="45" fillId="3" borderId="0" xfId="0" applyNumberFormat="1" applyFont="1" applyFill="1" applyBorder="1" applyAlignment="1"/>
    <xf numFmtId="3" fontId="60" fillId="3" borderId="0" xfId="0" applyNumberFormat="1" applyFont="1" applyFill="1" applyBorder="1" applyAlignment="1"/>
    <xf numFmtId="3" fontId="45" fillId="3" borderId="0" xfId="0" applyNumberFormat="1" applyFont="1" applyFill="1" applyAlignment="1"/>
    <xf numFmtId="3" fontId="60" fillId="3" borderId="0" xfId="0" applyNumberFormat="1" applyFont="1" applyFill="1" applyAlignment="1"/>
    <xf numFmtId="0" fontId="61" fillId="3" borderId="0" xfId="0" applyNumberFormat="1" applyFont="1" applyFill="1" applyBorder="1" applyAlignment="1"/>
    <xf numFmtId="3" fontId="61" fillId="3" borderId="0" xfId="0" applyNumberFormat="1" applyFont="1" applyFill="1" applyBorder="1" applyAlignment="1"/>
    <xf numFmtId="0" fontId="61" fillId="3" borderId="0" xfId="0" applyNumberFormat="1" applyFont="1" applyFill="1" applyAlignment="1"/>
    <xf numFmtId="167" fontId="55" fillId="3" borderId="23" xfId="0" applyNumberFormat="1" applyFont="1" applyFill="1" applyBorder="1" applyAlignment="1">
      <alignment horizontal="right"/>
    </xf>
    <xf numFmtId="3" fontId="45" fillId="3" borderId="23" xfId="0" applyNumberFormat="1" applyFont="1" applyFill="1" applyBorder="1" applyAlignment="1"/>
    <xf numFmtId="3" fontId="60" fillId="3" borderId="23" xfId="0" applyNumberFormat="1" applyFont="1" applyFill="1" applyBorder="1" applyAlignment="1" applyProtection="1">
      <alignment horizontal="right"/>
      <protection locked="0"/>
    </xf>
    <xf numFmtId="3" fontId="55" fillId="0" borderId="0" xfId="0" applyNumberFormat="1" applyFont="1" applyAlignment="1"/>
    <xf numFmtId="4" fontId="60" fillId="3" borderId="23" xfId="0" applyNumberFormat="1" applyFont="1" applyFill="1" applyBorder="1" applyAlignment="1" applyProtection="1">
      <alignment horizontal="right"/>
      <protection locked="0"/>
    </xf>
    <xf numFmtId="3" fontId="55" fillId="3" borderId="0" xfId="0" applyNumberFormat="1" applyFont="1" applyFill="1" applyBorder="1" applyAlignment="1"/>
    <xf numFmtId="4" fontId="55" fillId="3" borderId="0" xfId="0" applyNumberFormat="1" applyFont="1" applyFill="1" applyAlignment="1" applyProtection="1">
      <alignment horizontal="right"/>
      <protection locked="0"/>
    </xf>
    <xf numFmtId="4" fontId="55" fillId="3" borderId="7" xfId="0" applyNumberFormat="1" applyFont="1" applyFill="1" applyBorder="1" applyAlignment="1" applyProtection="1">
      <alignment horizontal="right"/>
      <protection locked="0"/>
    </xf>
    <xf numFmtId="0" fontId="62" fillId="3" borderId="0" xfId="0" applyNumberFormat="1" applyFont="1" applyFill="1" applyAlignment="1"/>
    <xf numFmtId="4" fontId="45" fillId="3" borderId="0" xfId="0" applyNumberFormat="1" applyFont="1" applyFill="1" applyBorder="1" applyAlignment="1" applyProtection="1">
      <alignment horizontal="right"/>
      <protection locked="0"/>
    </xf>
    <xf numFmtId="4" fontId="55" fillId="3" borderId="23" xfId="0" applyNumberFormat="1" applyFont="1" applyFill="1" applyBorder="1" applyAlignment="1" applyProtection="1">
      <alignment horizontal="right"/>
      <protection locked="0"/>
    </xf>
    <xf numFmtId="4" fontId="60" fillId="3" borderId="0" xfId="0" applyNumberFormat="1" applyFont="1" applyFill="1" applyAlignment="1" applyProtection="1">
      <alignment horizontal="right"/>
      <protection locked="0"/>
    </xf>
    <xf numFmtId="4" fontId="45" fillId="3" borderId="2" xfId="0" applyNumberFormat="1" applyFont="1" applyFill="1" applyBorder="1" applyAlignment="1" applyProtection="1">
      <alignment horizontal="right"/>
      <protection locked="0"/>
    </xf>
    <xf numFmtId="0" fontId="45" fillId="0" borderId="2" xfId="0" applyNumberFormat="1" applyFont="1" applyBorder="1" applyAlignment="1"/>
    <xf numFmtId="0" fontId="45" fillId="0" borderId="0" xfId="0" applyNumberFormat="1" applyFont="1" applyBorder="1" applyAlignment="1"/>
    <xf numFmtId="0" fontId="55" fillId="0" borderId="15" xfId="0" applyNumberFormat="1" applyFont="1" applyBorder="1" applyAlignment="1"/>
    <xf numFmtId="0" fontId="55" fillId="0" borderId="0" xfId="0" applyNumberFormat="1" applyFont="1" applyBorder="1" applyAlignment="1"/>
    <xf numFmtId="0" fontId="55" fillId="0" borderId="19" xfId="0" applyNumberFormat="1" applyFont="1" applyBorder="1" applyAlignment="1"/>
    <xf numFmtId="0" fontId="55" fillId="0" borderId="17" xfId="0" applyNumberFormat="1" applyFont="1" applyBorder="1" applyAlignment="1"/>
    <xf numFmtId="3" fontId="61" fillId="3" borderId="0" xfId="0" applyNumberFormat="1" applyFont="1" applyFill="1" applyBorder="1" applyAlignment="1" applyProtection="1">
      <alignment horizontal="right"/>
      <protection locked="0"/>
    </xf>
    <xf numFmtId="0" fontId="45" fillId="0" borderId="17" xfId="0" applyNumberFormat="1" applyFont="1" applyBorder="1" applyAlignment="1"/>
    <xf numFmtId="0" fontId="62" fillId="3" borderId="1" xfId="0" applyNumberFormat="1" applyFont="1" applyFill="1" applyBorder="1" applyAlignment="1"/>
    <xf numFmtId="0" fontId="62" fillId="3" borderId="2" xfId="0" applyNumberFormat="1" applyFont="1" applyFill="1" applyBorder="1" applyAlignment="1"/>
    <xf numFmtId="4" fontId="62" fillId="3" borderId="2" xfId="0" applyNumberFormat="1" applyFont="1" applyFill="1" applyBorder="1" applyAlignment="1" applyProtection="1">
      <alignment horizontal="right"/>
      <protection locked="0"/>
    </xf>
    <xf numFmtId="0" fontId="62" fillId="0" borderId="3" xfId="0" applyNumberFormat="1" applyFont="1" applyBorder="1"/>
    <xf numFmtId="0" fontId="62" fillId="0" borderId="0" xfId="0" applyNumberFormat="1" applyFont="1" applyBorder="1" applyAlignment="1"/>
    <xf numFmtId="0" fontId="45" fillId="3" borderId="0" xfId="0" applyNumberFormat="1" applyFont="1" applyFill="1" applyAlignment="1" applyProtection="1">
      <protection locked="0"/>
    </xf>
    <xf numFmtId="2" fontId="55" fillId="3" borderId="23" xfId="0" applyNumberFormat="1" applyFont="1" applyFill="1" applyBorder="1" applyAlignment="1" applyProtection="1">
      <alignment horizontal="right"/>
      <protection locked="0"/>
    </xf>
    <xf numFmtId="0" fontId="55" fillId="3" borderId="25" xfId="0" applyNumberFormat="1" applyFont="1" applyFill="1" applyBorder="1" applyAlignment="1"/>
    <xf numFmtId="0" fontId="55" fillId="3" borderId="26" xfId="0" applyNumberFormat="1" applyFont="1" applyFill="1" applyBorder="1" applyAlignment="1"/>
    <xf numFmtId="0" fontId="55" fillId="3" borderId="27" xfId="0" applyNumberFormat="1" applyFont="1" applyFill="1" applyBorder="1" applyAlignment="1"/>
    <xf numFmtId="0" fontId="60" fillId="3" borderId="3" xfId="0" applyNumberFormat="1" applyFont="1" applyFill="1" applyBorder="1" applyAlignment="1"/>
    <xf numFmtId="0" fontId="63" fillId="3" borderId="0" xfId="0" applyNumberFormat="1" applyFont="1" applyFill="1" applyAlignment="1"/>
    <xf numFmtId="15" fontId="64" fillId="3" borderId="0" xfId="0" applyNumberFormat="1" applyFont="1" applyFill="1" applyAlignment="1">
      <alignment horizontal="centerContinuous"/>
    </xf>
    <xf numFmtId="15" fontId="64" fillId="3" borderId="0" xfId="0" applyNumberFormat="1" applyFont="1" applyFill="1" applyAlignment="1">
      <alignment horizontal="center"/>
    </xf>
    <xf numFmtId="15" fontId="54" fillId="3" borderId="23" xfId="0" applyNumberFormat="1" applyFont="1" applyFill="1" applyBorder="1" applyAlignment="1">
      <alignment horizontal="centerContinuous"/>
    </xf>
    <xf numFmtId="17" fontId="55" fillId="3" borderId="23" xfId="0" applyNumberFormat="1" applyFont="1" applyFill="1" applyBorder="1" applyAlignment="1">
      <alignment horizontal="center"/>
    </xf>
    <xf numFmtId="4" fontId="61" fillId="3" borderId="0" xfId="0" applyNumberFormat="1" applyFont="1" applyFill="1" applyBorder="1" applyAlignment="1" applyProtection="1">
      <alignment horizontal="right"/>
      <protection locked="0"/>
    </xf>
    <xf numFmtId="0" fontId="61" fillId="3" borderId="0" xfId="0" applyNumberFormat="1" applyFont="1" applyFill="1" applyBorder="1" applyAlignment="1" applyProtection="1">
      <protection locked="0"/>
    </xf>
    <xf numFmtId="0" fontId="55" fillId="3" borderId="22" xfId="0" applyNumberFormat="1" applyFont="1" applyFill="1" applyBorder="1" applyAlignment="1">
      <alignment horizontal="right"/>
    </xf>
    <xf numFmtId="3" fontId="55" fillId="3" borderId="23" xfId="0" applyNumberFormat="1" applyFont="1" applyFill="1" applyBorder="1" applyAlignment="1" applyProtection="1">
      <alignment horizontal="center"/>
      <protection locked="0"/>
    </xf>
    <xf numFmtId="0" fontId="55" fillId="3" borderId="23" xfId="0" applyNumberFormat="1" applyFont="1" applyFill="1" applyBorder="1" applyAlignment="1" applyProtection="1">
      <protection locked="0"/>
    </xf>
    <xf numFmtId="3" fontId="54" fillId="3" borderId="24" xfId="0" applyNumberFormat="1" applyFont="1" applyFill="1" applyBorder="1" applyAlignment="1"/>
    <xf numFmtId="3" fontId="55" fillId="3" borderId="23" xfId="0" applyNumberFormat="1" applyFont="1" applyFill="1" applyBorder="1" applyAlignment="1">
      <alignment horizontal="center"/>
    </xf>
    <xf numFmtId="0" fontId="60" fillId="3" borderId="22" xfId="0" applyNumberFormat="1" applyFont="1" applyFill="1" applyBorder="1" applyAlignment="1">
      <alignment horizontal="right"/>
    </xf>
    <xf numFmtId="3" fontId="60" fillId="3" borderId="23" xfId="0" applyNumberFormat="1" applyFont="1" applyFill="1" applyBorder="1" applyAlignment="1"/>
    <xf numFmtId="0" fontId="45" fillId="3" borderId="23" xfId="0" applyNumberFormat="1" applyFont="1" applyFill="1" applyBorder="1" applyAlignment="1" applyProtection="1">
      <protection locked="0"/>
    </xf>
    <xf numFmtId="3" fontId="65" fillId="3" borderId="24" xfId="0" applyNumberFormat="1" applyFont="1" applyFill="1" applyBorder="1" applyAlignment="1"/>
    <xf numFmtId="4" fontId="55" fillId="3" borderId="23" xfId="0" applyNumberFormat="1" applyFont="1" applyFill="1" applyBorder="1" applyAlignment="1" applyProtection="1">
      <alignment horizontal="center"/>
      <protection locked="0"/>
    </xf>
    <xf numFmtId="0" fontId="60" fillId="3" borderId="22" xfId="0" applyNumberFormat="1" applyFont="1" applyFill="1" applyBorder="1" applyAlignment="1">
      <alignment horizontal="center"/>
    </xf>
    <xf numFmtId="0" fontId="60" fillId="3" borderId="23" xfId="0" applyNumberFormat="1" applyFont="1" applyFill="1" applyBorder="1" applyAlignment="1"/>
    <xf numFmtId="3" fontId="60" fillId="3" borderId="23" xfId="0" applyNumberFormat="1" applyFont="1" applyFill="1" applyBorder="1" applyAlignment="1" applyProtection="1">
      <alignment horizontal="center"/>
      <protection locked="0"/>
    </xf>
    <xf numFmtId="0" fontId="65" fillId="3" borderId="24" xfId="0" applyNumberFormat="1" applyFont="1" applyFill="1" applyBorder="1" applyAlignment="1"/>
    <xf numFmtId="0" fontId="55" fillId="3" borderId="22" xfId="0" applyNumberFormat="1" applyFont="1" applyFill="1" applyBorder="1" applyAlignment="1">
      <alignment horizontal="center"/>
    </xf>
    <xf numFmtId="0" fontId="54" fillId="3" borderId="24" xfId="0" applyNumberFormat="1" applyFont="1" applyFill="1" applyBorder="1" applyAlignment="1"/>
    <xf numFmtId="0" fontId="60" fillId="3" borderId="23" xfId="0" applyNumberFormat="1" applyFont="1" applyFill="1" applyBorder="1" applyAlignment="1">
      <alignment horizontal="right"/>
    </xf>
    <xf numFmtId="10" fontId="60" fillId="3" borderId="23" xfId="0" applyNumberFormat="1" applyFont="1" applyFill="1" applyBorder="1" applyAlignment="1" applyProtection="1">
      <alignment horizontal="center"/>
      <protection locked="0"/>
    </xf>
    <xf numFmtId="10" fontId="66" fillId="3" borderId="23" xfId="1" applyNumberFormat="1" applyFont="1" applyFill="1" applyBorder="1" applyAlignment="1">
      <alignment horizontal="left"/>
      <protection locked="0"/>
    </xf>
    <xf numFmtId="0" fontId="60" fillId="3" borderId="3" xfId="0" applyNumberFormat="1" applyFont="1" applyFill="1" applyBorder="1" applyAlignment="1">
      <alignment horizontal="right"/>
    </xf>
    <xf numFmtId="0" fontId="66" fillId="3" borderId="0" xfId="0" applyNumberFormat="1" applyFont="1" applyFill="1" applyBorder="1" applyAlignment="1"/>
    <xf numFmtId="0" fontId="60" fillId="3" borderId="0" xfId="0" applyNumberFormat="1" applyFont="1" applyFill="1" applyBorder="1" applyAlignment="1">
      <alignment horizontal="right"/>
    </xf>
    <xf numFmtId="10" fontId="66" fillId="3" borderId="0" xfId="1" applyNumberFormat="1" applyFont="1" applyFill="1" applyBorder="1" applyAlignment="1">
      <alignment horizontal="left"/>
      <protection locked="0"/>
    </xf>
    <xf numFmtId="10" fontId="60" fillId="3" borderId="0" xfId="0" applyNumberFormat="1" applyFont="1" applyFill="1" applyBorder="1" applyAlignment="1" applyProtection="1">
      <alignment horizontal="center"/>
      <protection locked="0"/>
    </xf>
    <xf numFmtId="0" fontId="45" fillId="3" borderId="0" xfId="0" applyNumberFormat="1" applyFont="1" applyFill="1" applyBorder="1" applyAlignment="1" applyProtection="1">
      <protection locked="0"/>
    </xf>
    <xf numFmtId="0" fontId="65" fillId="3" borderId="0" xfId="0" applyNumberFormat="1" applyFont="1" applyFill="1" applyBorder="1" applyAlignment="1"/>
    <xf numFmtId="166" fontId="55" fillId="3" borderId="23" xfId="0" applyNumberFormat="1" applyFont="1" applyFill="1" applyBorder="1" applyAlignment="1"/>
    <xf numFmtId="10" fontId="55" fillId="3" borderId="23" xfId="0" applyNumberFormat="1" applyFont="1" applyFill="1" applyBorder="1" applyAlignment="1"/>
    <xf numFmtId="9" fontId="55" fillId="3" borderId="23" xfId="0" applyNumberFormat="1" applyFont="1" applyFill="1" applyBorder="1" applyAlignment="1"/>
    <xf numFmtId="0" fontId="60" fillId="3" borderId="0" xfId="0" applyNumberFormat="1" applyFont="1" applyFill="1" applyBorder="1" applyAlignment="1"/>
    <xf numFmtId="10" fontId="55" fillId="3" borderId="23" xfId="0" applyNumberFormat="1" applyFont="1" applyFill="1" applyBorder="1" applyAlignment="1" applyProtection="1">
      <protection locked="0"/>
    </xf>
    <xf numFmtId="9" fontId="61" fillId="3" borderId="0" xfId="0" applyNumberFormat="1" applyFont="1" applyFill="1" applyBorder="1" applyAlignment="1"/>
    <xf numFmtId="10" fontId="61" fillId="3" borderId="0" xfId="0" applyNumberFormat="1" applyFont="1" applyFill="1" applyBorder="1" applyAlignment="1"/>
    <xf numFmtId="3" fontId="54" fillId="3" borderId="23" xfId="0" applyNumberFormat="1" applyFont="1" applyFill="1" applyBorder="1" applyAlignment="1"/>
    <xf numFmtId="3" fontId="54" fillId="3" borderId="23" xfId="0" applyNumberFormat="1" applyFont="1" applyFill="1" applyBorder="1" applyAlignment="1" applyProtection="1">
      <alignment horizontal="right"/>
      <protection locked="0"/>
    </xf>
    <xf numFmtId="9" fontId="55" fillId="3" borderId="0" xfId="0" applyNumberFormat="1" applyFont="1" applyFill="1" applyBorder="1" applyAlignment="1"/>
    <xf numFmtId="3" fontId="55" fillId="3" borderId="0" xfId="0" applyNumberFormat="1" applyFont="1" applyFill="1" applyBorder="1" applyAlignment="1" applyProtection="1">
      <alignment horizontal="right"/>
      <protection locked="0"/>
    </xf>
    <xf numFmtId="9" fontId="55" fillId="3" borderId="0" xfId="0" applyNumberFormat="1" applyFont="1" applyFill="1" applyAlignment="1"/>
    <xf numFmtId="3" fontId="55" fillId="3" borderId="0" xfId="0" applyNumberFormat="1" applyFont="1" applyFill="1" applyAlignment="1" applyProtection="1">
      <alignment horizontal="right"/>
      <protection locked="0"/>
    </xf>
    <xf numFmtId="0" fontId="54" fillId="3" borderId="29" xfId="0" applyNumberFormat="1" applyFont="1" applyFill="1" applyBorder="1" applyAlignment="1"/>
    <xf numFmtId="0" fontId="54" fillId="3" borderId="0" xfId="0" quotePrefix="1" applyNumberFormat="1" applyFont="1" applyFill="1" applyAlignment="1">
      <alignment horizontal="center"/>
    </xf>
    <xf numFmtId="0" fontId="59" fillId="3" borderId="0" xfId="0" applyNumberFormat="1" applyFont="1" applyFill="1" applyAlignment="1"/>
    <xf numFmtId="0" fontId="45" fillId="0" borderId="2" xfId="0" applyNumberFormat="1" applyFont="1" applyBorder="1"/>
    <xf numFmtId="0" fontId="67" fillId="3" borderId="22" xfId="0" applyNumberFormat="1" applyFont="1" applyFill="1" applyBorder="1" applyAlignment="1"/>
    <xf numFmtId="0" fontId="48" fillId="3" borderId="23" xfId="0" applyNumberFormat="1" applyFont="1" applyFill="1" applyBorder="1" applyAlignment="1"/>
    <xf numFmtId="0" fontId="67" fillId="3" borderId="23" xfId="0" applyNumberFormat="1" applyFont="1" applyFill="1" applyBorder="1" applyAlignment="1"/>
    <xf numFmtId="170" fontId="48" fillId="3" borderId="23" xfId="0" applyNumberFormat="1" applyFont="1" applyFill="1" applyBorder="1" applyAlignment="1">
      <alignment horizontal="center"/>
    </xf>
    <xf numFmtId="169" fontId="48" fillId="3" borderId="23" xfId="0" applyNumberFormat="1" applyFont="1" applyFill="1" applyBorder="1" applyAlignment="1">
      <alignment horizontal="center"/>
    </xf>
    <xf numFmtId="0" fontId="67" fillId="3" borderId="23" xfId="0" applyNumberFormat="1" applyFont="1" applyFill="1" applyBorder="1" applyAlignment="1">
      <alignment horizontal="center"/>
    </xf>
    <xf numFmtId="0" fontId="67" fillId="3" borderId="24" xfId="0" applyNumberFormat="1" applyFont="1" applyFill="1" applyBorder="1" applyAlignment="1"/>
    <xf numFmtId="0" fontId="67" fillId="0" borderId="3" xfId="0" applyNumberFormat="1" applyFont="1" applyBorder="1"/>
    <xf numFmtId="0" fontId="67" fillId="0" borderId="0" xfId="0" applyNumberFormat="1" applyFont="1" applyAlignment="1"/>
    <xf numFmtId="10" fontId="67" fillId="3" borderId="23" xfId="0" applyNumberFormat="1" applyFont="1" applyFill="1" applyBorder="1" applyAlignment="1">
      <alignment horizontal="center"/>
    </xf>
    <xf numFmtId="165" fontId="67" fillId="3" borderId="23" xfId="0" applyNumberFormat="1" applyFont="1" applyFill="1" applyBorder="1" applyAlignment="1">
      <alignment horizontal="center"/>
    </xf>
    <xf numFmtId="0" fontId="67" fillId="3" borderId="3" xfId="0" applyNumberFormat="1" applyFont="1" applyFill="1" applyBorder="1" applyAlignment="1"/>
    <xf numFmtId="0" fontId="48" fillId="3" borderId="0" xfId="0" applyNumberFormat="1" applyFont="1" applyFill="1" applyAlignment="1">
      <alignment horizontal="left" vertical="top" wrapText="1"/>
    </xf>
    <xf numFmtId="0" fontId="48" fillId="3" borderId="0" xfId="0" applyNumberFormat="1" applyFont="1" applyFill="1" applyAlignment="1">
      <alignment horizontal="center" vertical="top" wrapText="1"/>
    </xf>
    <xf numFmtId="4" fontId="48" fillId="3" borderId="0" xfId="0" applyNumberFormat="1" applyFont="1" applyFill="1" applyAlignment="1" applyProtection="1">
      <alignment horizontal="center" vertical="top" wrapText="1"/>
      <protection locked="0"/>
    </xf>
    <xf numFmtId="0" fontId="67" fillId="3" borderId="0" xfId="0" applyNumberFormat="1" applyFont="1" applyFill="1" applyAlignment="1"/>
    <xf numFmtId="0" fontId="68" fillId="3" borderId="23" xfId="0" applyNumberFormat="1" applyFont="1" applyFill="1" applyBorder="1" applyAlignment="1"/>
    <xf numFmtId="0" fontId="68" fillId="3" borderId="0" xfId="0" applyNumberFormat="1" applyFont="1" applyFill="1" applyAlignment="1"/>
    <xf numFmtId="0" fontId="68" fillId="3" borderId="0" xfId="0" applyNumberFormat="1" applyFont="1" applyFill="1" applyBorder="1" applyAlignment="1"/>
    <xf numFmtId="0" fontId="48" fillId="3" borderId="0" xfId="0" applyNumberFormat="1" applyFont="1" applyFill="1" applyAlignment="1">
      <alignment horizontal="right"/>
    </xf>
    <xf numFmtId="4" fontId="48" fillId="3" borderId="0" xfId="0" applyNumberFormat="1" applyFont="1" applyFill="1" applyAlignment="1" applyProtection="1">
      <alignment horizontal="right"/>
      <protection locked="0"/>
    </xf>
    <xf numFmtId="0" fontId="51" fillId="3" borderId="23" xfId="0" applyNumberFormat="1" applyFont="1" applyFill="1" applyBorder="1" applyAlignment="1"/>
    <xf numFmtId="10" fontId="51" fillId="3" borderId="23" xfId="1" applyNumberFormat="1" applyFont="1" applyFill="1" applyBorder="1" applyAlignment="1">
      <alignment horizontal="left"/>
      <protection locked="0"/>
    </xf>
    <xf numFmtId="0" fontId="69" fillId="5" borderId="23" xfId="1" applyNumberFormat="1" applyFont="1" applyFill="1" applyBorder="1" applyAlignment="1" applyProtection="1"/>
    <xf numFmtId="0" fontId="57" fillId="6" borderId="3" xfId="0" applyNumberFormat="1" applyFont="1" applyFill="1" applyBorder="1" applyAlignment="1"/>
    <xf numFmtId="0" fontId="57" fillId="6" borderId="0" xfId="0" applyNumberFormat="1" applyFont="1" applyFill="1" applyAlignment="1"/>
    <xf numFmtId="0" fontId="55" fillId="3" borderId="30" xfId="0" applyNumberFormat="1" applyFont="1" applyFill="1" applyBorder="1" applyAlignment="1"/>
    <xf numFmtId="0" fontId="55" fillId="3" borderId="31" xfId="0" applyNumberFormat="1" applyFont="1" applyFill="1" applyBorder="1" applyAlignment="1"/>
    <xf numFmtId="0" fontId="55" fillId="3" borderId="31" xfId="0" applyNumberFormat="1" applyFont="1" applyFill="1" applyBorder="1" applyAlignment="1">
      <alignment horizontal="center" wrapText="1"/>
    </xf>
    <xf numFmtId="0" fontId="55" fillId="3" borderId="32" xfId="0" applyNumberFormat="1" applyFont="1" applyFill="1" applyBorder="1" applyAlignment="1"/>
    <xf numFmtId="0" fontId="57" fillId="6" borderId="0" xfId="0" applyNumberFormat="1" applyFont="1" applyFill="1" applyBorder="1" applyAlignment="1"/>
    <xf numFmtId="0" fontId="58" fillId="6" borderId="0" xfId="0" applyNumberFormat="1" applyFont="1" applyFill="1" applyBorder="1" applyAlignment="1">
      <alignment horizontal="center" wrapText="1"/>
    </xf>
    <xf numFmtId="0" fontId="57" fillId="6" borderId="0" xfId="0" applyNumberFormat="1" applyFont="1" applyFill="1" applyBorder="1" applyAlignment="1">
      <alignment horizontal="center" wrapText="1"/>
    </xf>
    <xf numFmtId="0" fontId="57" fillId="6" borderId="28" xfId="0" applyNumberFormat="1" applyFont="1" applyFill="1" applyBorder="1" applyAlignment="1"/>
    <xf numFmtId="0" fontId="58" fillId="6" borderId="0" xfId="0" applyNumberFormat="1" applyFont="1" applyFill="1" applyAlignment="1"/>
    <xf numFmtId="4" fontId="57" fillId="6" borderId="0" xfId="0" applyNumberFormat="1" applyFont="1" applyFill="1" applyAlignment="1" applyProtection="1">
      <alignment horizontal="right"/>
      <protection locked="0"/>
    </xf>
    <xf numFmtId="3" fontId="55" fillId="3" borderId="31" xfId="0" applyNumberFormat="1" applyFont="1" applyFill="1" applyBorder="1" applyAlignment="1"/>
    <xf numFmtId="3" fontId="55" fillId="3" borderId="31" xfId="0" applyNumberFormat="1" applyFont="1" applyFill="1" applyBorder="1" applyAlignment="1" applyProtection="1">
      <alignment horizontal="right"/>
      <protection locked="0"/>
    </xf>
    <xf numFmtId="0" fontId="58" fillId="6" borderId="0" xfId="0" applyNumberFormat="1" applyFont="1" applyFill="1" applyBorder="1" applyAlignment="1"/>
    <xf numFmtId="0" fontId="58" fillId="6" borderId="0" xfId="0" applyNumberFormat="1" applyFont="1" applyFill="1" applyBorder="1" applyAlignment="1">
      <alignment horizontal="right"/>
    </xf>
    <xf numFmtId="0" fontId="58" fillId="6" borderId="0" xfId="0" applyNumberFormat="1" applyFont="1" applyFill="1" applyBorder="1" applyAlignment="1">
      <alignment horizontal="center"/>
    </xf>
    <xf numFmtId="15" fontId="58" fillId="6" borderId="0" xfId="0" applyNumberFormat="1" applyFont="1" applyFill="1" applyBorder="1" applyAlignment="1">
      <alignment horizontal="right"/>
    </xf>
    <xf numFmtId="0" fontId="57" fillId="6" borderId="1" xfId="0" applyNumberFormat="1" applyFont="1" applyFill="1" applyBorder="1" applyAlignment="1"/>
    <xf numFmtId="0" fontId="58" fillId="6" borderId="2" xfId="0" applyNumberFormat="1" applyFont="1" applyFill="1" applyBorder="1" applyAlignment="1"/>
    <xf numFmtId="0" fontId="57" fillId="6" borderId="2" xfId="0" applyNumberFormat="1" applyFont="1" applyFill="1" applyBorder="1" applyAlignment="1"/>
    <xf numFmtId="4" fontId="57" fillId="6" borderId="2" xfId="0" applyNumberFormat="1" applyFont="1" applyFill="1" applyBorder="1" applyAlignment="1" applyProtection="1">
      <alignment horizontal="right"/>
      <protection locked="0"/>
    </xf>
    <xf numFmtId="15" fontId="58" fillId="6" borderId="2" xfId="0" applyNumberFormat="1" applyFont="1" applyFill="1" applyBorder="1" applyAlignment="1">
      <alignment horizontal="centerContinuous"/>
    </xf>
    <xf numFmtId="15" fontId="58" fillId="6" borderId="2" xfId="0" applyNumberFormat="1" applyFont="1" applyFill="1" applyBorder="1" applyAlignment="1">
      <alignment horizontal="center"/>
    </xf>
    <xf numFmtId="0" fontId="57" fillId="6" borderId="3" xfId="0" applyNumberFormat="1" applyFont="1" applyFill="1" applyBorder="1" applyAlignment="1">
      <alignment horizontal="right"/>
    </xf>
    <xf numFmtId="0" fontId="55" fillId="3" borderId="30" xfId="0" applyNumberFormat="1" applyFont="1" applyFill="1" applyBorder="1" applyAlignment="1">
      <alignment horizontal="right"/>
    </xf>
    <xf numFmtId="0" fontId="55" fillId="3" borderId="31" xfId="0" applyNumberFormat="1" applyFont="1" applyFill="1" applyBorder="1" applyAlignment="1">
      <alignment horizontal="center"/>
    </xf>
    <xf numFmtId="3" fontId="55" fillId="3" borderId="31" xfId="0" applyNumberFormat="1" applyFont="1" applyFill="1" applyBorder="1" applyAlignment="1" applyProtection="1">
      <alignment horizontal="center"/>
      <protection locked="0"/>
    </xf>
    <xf numFmtId="0" fontId="55" fillId="3" borderId="31" xfId="0" applyNumberFormat="1" applyFont="1" applyFill="1" applyBorder="1" applyAlignment="1" applyProtection="1">
      <protection locked="0"/>
    </xf>
    <xf numFmtId="3" fontId="54" fillId="3" borderId="32" xfId="0" applyNumberFormat="1" applyFont="1" applyFill="1" applyBorder="1" applyAlignment="1"/>
    <xf numFmtId="3" fontId="58" fillId="6" borderId="0" xfId="0" applyNumberFormat="1" applyFont="1" applyFill="1" applyBorder="1" applyAlignment="1">
      <alignment horizontal="center"/>
    </xf>
    <xf numFmtId="166" fontId="55" fillId="3" borderId="31" xfId="0" applyNumberFormat="1" applyFont="1" applyFill="1" applyBorder="1" applyAlignment="1"/>
    <xf numFmtId="10" fontId="55" fillId="3" borderId="31" xfId="0" applyNumberFormat="1" applyFont="1" applyFill="1" applyBorder="1" applyAlignment="1"/>
    <xf numFmtId="0" fontId="54" fillId="3" borderId="32" xfId="0" applyNumberFormat="1" applyFont="1" applyFill="1" applyBorder="1" applyAlignment="1"/>
    <xf numFmtId="3" fontId="58" fillId="6" borderId="0" xfId="0" applyNumberFormat="1" applyFont="1" applyFill="1" applyBorder="1" applyAlignment="1">
      <alignment horizontal="right"/>
    </xf>
    <xf numFmtId="0" fontId="58" fillId="6" borderId="28" xfId="0" applyNumberFormat="1" applyFont="1" applyFill="1" applyBorder="1" applyAlignment="1"/>
    <xf numFmtId="9" fontId="57" fillId="6" borderId="0" xfId="0" applyNumberFormat="1" applyFont="1" applyFill="1" applyBorder="1" applyAlignment="1"/>
    <xf numFmtId="9" fontId="55" fillId="3" borderId="31" xfId="0" applyNumberFormat="1" applyFont="1" applyFill="1" applyBorder="1" applyAlignment="1"/>
    <xf numFmtId="0" fontId="70" fillId="5" borderId="0" xfId="0" applyNumberFormat="1" applyFont="1" applyFill="1" applyAlignment="1"/>
    <xf numFmtId="4" fontId="71" fillId="3" borderId="23" xfId="0" applyNumberFormat="1" applyFont="1" applyFill="1" applyBorder="1" applyAlignment="1" applyProtection="1">
      <alignment horizontal="center"/>
      <protection locked="0"/>
    </xf>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9CB31"/>
      <color rgb="FF0000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file:///C:\WINDOWS\TEMP\Symbol.gif" TargetMode="External"/><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52239" name="Picture 1" descr="C:\WINDOWS\TEMP\Symbol.gif">
          <a:extLst>
            <a:ext uri="{FF2B5EF4-FFF2-40B4-BE49-F238E27FC236}">
              <a16:creationId xmlns:a16="http://schemas.microsoft.com/office/drawing/2014/main" xmlns="" id="{00000000-0008-0000-0000-00000FC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52240" name="Picture 2" descr="C:\WINDOWS\TEMP\Symbol.gif">
          <a:extLst>
            <a:ext uri="{FF2B5EF4-FFF2-40B4-BE49-F238E27FC236}">
              <a16:creationId xmlns:a16="http://schemas.microsoft.com/office/drawing/2014/main" xmlns="" id="{00000000-0008-0000-0000-000010C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52241" name="Picture 3" descr="C:\WINDOWS\TEMP\Symbol.gif">
          <a:extLst>
            <a:ext uri="{FF2B5EF4-FFF2-40B4-BE49-F238E27FC236}">
              <a16:creationId xmlns:a16="http://schemas.microsoft.com/office/drawing/2014/main" xmlns="" id="{00000000-0008-0000-0000-000011C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23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278</xdr:row>
      <xdr:rowOff>161925</xdr:rowOff>
    </xdr:from>
    <xdr:to>
      <xdr:col>1</xdr:col>
      <xdr:colOff>19050</xdr:colOff>
      <xdr:row>279</xdr:row>
      <xdr:rowOff>200025</xdr:rowOff>
    </xdr:to>
    <xdr:pic>
      <xdr:nvPicPr>
        <xdr:cNvPr id="52242" name="Picture 4" descr="C:\WINDOWS\TEMP\Symbol.gif">
          <a:extLst>
            <a:ext uri="{FF2B5EF4-FFF2-40B4-BE49-F238E27FC236}">
              <a16:creationId xmlns:a16="http://schemas.microsoft.com/office/drawing/2014/main" xmlns="" id="{00000000-0008-0000-0000-000012C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5023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278</xdr:row>
      <xdr:rowOff>123825</xdr:rowOff>
    </xdr:from>
    <xdr:to>
      <xdr:col>14</xdr:col>
      <xdr:colOff>1895475</xdr:colOff>
      <xdr:row>279</xdr:row>
      <xdr:rowOff>152400</xdr:rowOff>
    </xdr:to>
    <xdr:pic>
      <xdr:nvPicPr>
        <xdr:cNvPr id="52243" name="Picture 5" descr="C:\WINDOWS\TEMP\~0003946.gif">
          <a:extLst>
            <a:ext uri="{FF2B5EF4-FFF2-40B4-BE49-F238E27FC236}">
              <a16:creationId xmlns:a16="http://schemas.microsoft.com/office/drawing/2014/main" xmlns="" id="{00000000-0008-0000-0000-000013C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811750" y="56464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52244" name="Picture 6" descr="C:\WINDOWS\TEMP\~0003946.gif">
          <a:extLst>
            <a:ext uri="{FF2B5EF4-FFF2-40B4-BE49-F238E27FC236}">
              <a16:creationId xmlns:a16="http://schemas.microsoft.com/office/drawing/2014/main" xmlns="" id="{00000000-0008-0000-0000-000014C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811750" y="36804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52245" name="Picture 7" descr="C:\WINDOWS\TEMP\~0003946.gif">
          <a:extLst>
            <a:ext uri="{FF2B5EF4-FFF2-40B4-BE49-F238E27FC236}">
              <a16:creationId xmlns:a16="http://schemas.microsoft.com/office/drawing/2014/main" xmlns="" id="{00000000-0008-0000-0000-000015C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8117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52246" name="Picture 8" descr="C:\WINDOWS\TEMP\~0003946.gif">
          <a:extLst>
            <a:ext uri="{FF2B5EF4-FFF2-40B4-BE49-F238E27FC236}">
              <a16:creationId xmlns:a16="http://schemas.microsoft.com/office/drawing/2014/main" xmlns="" id="{00000000-0008-0000-0000-000016C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8117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52247" name="Picture 28" descr="C:\WINDOWS\TEMP\~0003946.gif">
          <a:extLst>
            <a:ext uri="{FF2B5EF4-FFF2-40B4-BE49-F238E27FC236}">
              <a16:creationId xmlns:a16="http://schemas.microsoft.com/office/drawing/2014/main" xmlns="" id="{00000000-0008-0000-0000-000017C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68878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52248" name="Picture 29" descr="C:\WINDOWS\TEMP\~0003946.gif">
          <a:extLst>
            <a:ext uri="{FF2B5EF4-FFF2-40B4-BE49-F238E27FC236}">
              <a16:creationId xmlns:a16="http://schemas.microsoft.com/office/drawing/2014/main" xmlns="" id="{00000000-0008-0000-0000-000018C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68973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52249" name="Picture 30" descr="C:\WINDOWS\TEMP\~0003946.gif">
          <a:extLst>
            <a:ext uri="{FF2B5EF4-FFF2-40B4-BE49-F238E27FC236}">
              <a16:creationId xmlns:a16="http://schemas.microsoft.com/office/drawing/2014/main" xmlns="" id="{00000000-0008-0000-0000-000019C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6811625" y="36756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278</xdr:row>
      <xdr:rowOff>104775</xdr:rowOff>
    </xdr:from>
    <xdr:to>
      <xdr:col>14</xdr:col>
      <xdr:colOff>895350</xdr:colOff>
      <xdr:row>279</xdr:row>
      <xdr:rowOff>133350</xdr:rowOff>
    </xdr:to>
    <xdr:pic>
      <xdr:nvPicPr>
        <xdr:cNvPr id="52250" name="Picture 31" descr="C:\WINDOWS\TEMP\~0003946.gif">
          <a:extLst>
            <a:ext uri="{FF2B5EF4-FFF2-40B4-BE49-F238E27FC236}">
              <a16:creationId xmlns:a16="http://schemas.microsoft.com/office/drawing/2014/main" xmlns="" id="{00000000-0008-0000-0000-00001AC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6897350" y="56445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52251" name="Picture 43" descr="logoMTL">
          <a:extLst>
            <a:ext uri="{FF2B5EF4-FFF2-40B4-BE49-F238E27FC236}">
              <a16:creationId xmlns:a16="http://schemas.microsoft.com/office/drawing/2014/main" xmlns="" id="{00000000-0008-0000-0000-00001BC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924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52252" name="Picture 44" descr="logoMTL">
          <a:extLst>
            <a:ext uri="{FF2B5EF4-FFF2-40B4-BE49-F238E27FC236}">
              <a16:creationId xmlns:a16="http://schemas.microsoft.com/office/drawing/2014/main" xmlns="" id="{00000000-0008-0000-0000-00001CC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162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52253" name="Picture 45" descr="logoMTL">
          <a:extLst>
            <a:ext uri="{FF2B5EF4-FFF2-40B4-BE49-F238E27FC236}">
              <a16:creationId xmlns:a16="http://schemas.microsoft.com/office/drawing/2014/main" xmlns="" id="{00000000-0008-0000-0000-00001DC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16275" y="36680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278</xdr:row>
      <xdr:rowOff>0</xdr:rowOff>
    </xdr:from>
    <xdr:to>
      <xdr:col>13</xdr:col>
      <xdr:colOff>1228725</xdr:colOff>
      <xdr:row>279</xdr:row>
      <xdr:rowOff>123825</xdr:rowOff>
    </xdr:to>
    <xdr:pic>
      <xdr:nvPicPr>
        <xdr:cNvPr id="52254" name="Picture 46" descr="logoMTL">
          <a:extLst>
            <a:ext uri="{FF2B5EF4-FFF2-40B4-BE49-F238E27FC236}">
              <a16:creationId xmlns:a16="http://schemas.microsoft.com/office/drawing/2014/main" xmlns="" id="{00000000-0008-0000-0000-00001EC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63900" y="563403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34801" name="Picture 1" descr="C:\WINDOWS\TEMP\Symbol.gif">
          <a:extLst>
            <a:ext uri="{FF2B5EF4-FFF2-40B4-BE49-F238E27FC236}">
              <a16:creationId xmlns:a16="http://schemas.microsoft.com/office/drawing/2014/main" xmlns="" id="{00000000-0008-0000-0900-0000F1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114</xdr:row>
      <xdr:rowOff>161925</xdr:rowOff>
    </xdr:from>
    <xdr:to>
      <xdr:col>1</xdr:col>
      <xdr:colOff>28575</xdr:colOff>
      <xdr:row>115</xdr:row>
      <xdr:rowOff>200025</xdr:rowOff>
    </xdr:to>
    <xdr:pic>
      <xdr:nvPicPr>
        <xdr:cNvPr id="34802" name="Picture 2" descr="C:\WINDOWS\TEMP\Symbol.gif">
          <a:extLst>
            <a:ext uri="{FF2B5EF4-FFF2-40B4-BE49-F238E27FC236}">
              <a16:creationId xmlns:a16="http://schemas.microsoft.com/office/drawing/2014/main" xmlns="" id="{00000000-0008-0000-0900-0000F2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517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181</xdr:row>
      <xdr:rowOff>171450</xdr:rowOff>
    </xdr:from>
    <xdr:to>
      <xdr:col>1</xdr:col>
      <xdr:colOff>47625</xdr:colOff>
      <xdr:row>182</xdr:row>
      <xdr:rowOff>209550</xdr:rowOff>
    </xdr:to>
    <xdr:pic>
      <xdr:nvPicPr>
        <xdr:cNvPr id="34803" name="Picture 3" descr="C:\WINDOWS\TEMP\Symbol.gif">
          <a:extLst>
            <a:ext uri="{FF2B5EF4-FFF2-40B4-BE49-F238E27FC236}">
              <a16:creationId xmlns:a16="http://schemas.microsoft.com/office/drawing/2014/main" xmlns="" id="{00000000-0008-0000-0900-0000F3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023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280</xdr:row>
      <xdr:rowOff>161925</xdr:rowOff>
    </xdr:from>
    <xdr:to>
      <xdr:col>1</xdr:col>
      <xdr:colOff>19050</xdr:colOff>
      <xdr:row>281</xdr:row>
      <xdr:rowOff>200025</xdr:rowOff>
    </xdr:to>
    <xdr:pic>
      <xdr:nvPicPr>
        <xdr:cNvPr id="34804" name="Picture 4" descr="C:\WINDOWS\TEMP\Symbol.gif">
          <a:extLst>
            <a:ext uri="{FF2B5EF4-FFF2-40B4-BE49-F238E27FC236}">
              <a16:creationId xmlns:a16="http://schemas.microsoft.com/office/drawing/2014/main" xmlns="" id="{00000000-0008-0000-0900-0000F4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902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280</xdr:row>
      <xdr:rowOff>123825</xdr:rowOff>
    </xdr:from>
    <xdr:to>
      <xdr:col>14</xdr:col>
      <xdr:colOff>1895475</xdr:colOff>
      <xdr:row>281</xdr:row>
      <xdr:rowOff>152400</xdr:rowOff>
    </xdr:to>
    <xdr:pic>
      <xdr:nvPicPr>
        <xdr:cNvPr id="34805" name="Picture 5" descr="C:\WINDOWS\TEMP\~0003946.gif">
          <a:extLst>
            <a:ext uri="{FF2B5EF4-FFF2-40B4-BE49-F238E27FC236}">
              <a16:creationId xmlns:a16="http://schemas.microsoft.com/office/drawing/2014/main" xmlns="" id="{00000000-0008-0000-0900-0000F58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56864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181</xdr:row>
      <xdr:rowOff>152400</xdr:rowOff>
    </xdr:from>
    <xdr:to>
      <xdr:col>14</xdr:col>
      <xdr:colOff>1924050</xdr:colOff>
      <xdr:row>182</xdr:row>
      <xdr:rowOff>180975</xdr:rowOff>
    </xdr:to>
    <xdr:pic>
      <xdr:nvPicPr>
        <xdr:cNvPr id="34806" name="Picture 6" descr="C:\WINDOWS\TEMP\~0003946.gif">
          <a:extLst>
            <a:ext uri="{FF2B5EF4-FFF2-40B4-BE49-F238E27FC236}">
              <a16:creationId xmlns:a16="http://schemas.microsoft.com/office/drawing/2014/main" xmlns="" id="{00000000-0008-0000-0900-0000F68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700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114</xdr:row>
      <xdr:rowOff>161925</xdr:rowOff>
    </xdr:from>
    <xdr:to>
      <xdr:col>14</xdr:col>
      <xdr:colOff>1952625</xdr:colOff>
      <xdr:row>115</xdr:row>
      <xdr:rowOff>190500</xdr:rowOff>
    </xdr:to>
    <xdr:pic>
      <xdr:nvPicPr>
        <xdr:cNvPr id="34807" name="Picture 7" descr="C:\WINDOWS\TEMP\~0003946.gif">
          <a:extLst>
            <a:ext uri="{FF2B5EF4-FFF2-40B4-BE49-F238E27FC236}">
              <a16:creationId xmlns:a16="http://schemas.microsoft.com/office/drawing/2014/main" xmlns="" id="{00000000-0008-0000-0900-0000F78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51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34808" name="Picture 8" descr="C:\WINDOWS\TEMP\~0003946.gif">
          <a:extLst>
            <a:ext uri="{FF2B5EF4-FFF2-40B4-BE49-F238E27FC236}">
              <a16:creationId xmlns:a16="http://schemas.microsoft.com/office/drawing/2014/main" xmlns="" id="{00000000-0008-0000-0900-0000F88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34809" name="Picture 9" descr="C:\WINDOWS\TEMP\~0003946.gif">
          <a:extLst>
            <a:ext uri="{FF2B5EF4-FFF2-40B4-BE49-F238E27FC236}">
              <a16:creationId xmlns:a16="http://schemas.microsoft.com/office/drawing/2014/main" xmlns="" id="{00000000-0008-0000-0900-0000F98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114</xdr:row>
      <xdr:rowOff>123825</xdr:rowOff>
    </xdr:from>
    <xdr:to>
      <xdr:col>14</xdr:col>
      <xdr:colOff>895350</xdr:colOff>
      <xdr:row>115</xdr:row>
      <xdr:rowOff>152400</xdr:rowOff>
    </xdr:to>
    <xdr:pic>
      <xdr:nvPicPr>
        <xdr:cNvPr id="34810" name="Picture 10" descr="C:\WINDOWS\TEMP\~0003946.gif">
          <a:extLst>
            <a:ext uri="{FF2B5EF4-FFF2-40B4-BE49-F238E27FC236}">
              <a16:creationId xmlns:a16="http://schemas.microsoft.com/office/drawing/2014/main" xmlns="" id="{00000000-0008-0000-0900-0000FA8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479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181</xdr:row>
      <xdr:rowOff>104775</xdr:rowOff>
    </xdr:from>
    <xdr:to>
      <xdr:col>14</xdr:col>
      <xdr:colOff>809625</xdr:colOff>
      <xdr:row>182</xdr:row>
      <xdr:rowOff>133350</xdr:rowOff>
    </xdr:to>
    <xdr:pic>
      <xdr:nvPicPr>
        <xdr:cNvPr id="34811" name="Picture 11" descr="C:\WINDOWS\TEMP\~0003946.gif">
          <a:extLst>
            <a:ext uri="{FF2B5EF4-FFF2-40B4-BE49-F238E27FC236}">
              <a16:creationId xmlns:a16="http://schemas.microsoft.com/office/drawing/2014/main" xmlns="" id="{00000000-0008-0000-0900-0000FB8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957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280</xdr:row>
      <xdr:rowOff>104775</xdr:rowOff>
    </xdr:from>
    <xdr:to>
      <xdr:col>14</xdr:col>
      <xdr:colOff>895350</xdr:colOff>
      <xdr:row>281</xdr:row>
      <xdr:rowOff>133350</xdr:rowOff>
    </xdr:to>
    <xdr:pic>
      <xdr:nvPicPr>
        <xdr:cNvPr id="34812" name="Picture 12" descr="C:\WINDOWS\TEMP\~0003946.gif">
          <a:extLst>
            <a:ext uri="{FF2B5EF4-FFF2-40B4-BE49-F238E27FC236}">
              <a16:creationId xmlns:a16="http://schemas.microsoft.com/office/drawing/2014/main" xmlns="" id="{00000000-0008-0000-0900-0000FC8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5684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34813" name="Picture 13" descr="logoMTL">
          <a:extLst>
            <a:ext uri="{FF2B5EF4-FFF2-40B4-BE49-F238E27FC236}">
              <a16:creationId xmlns:a16="http://schemas.microsoft.com/office/drawing/2014/main" xmlns="" id="{00000000-0008-0000-0900-0000FD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114</xdr:row>
      <xdr:rowOff>38100</xdr:rowOff>
    </xdr:from>
    <xdr:to>
      <xdr:col>13</xdr:col>
      <xdr:colOff>1171575</xdr:colOff>
      <xdr:row>115</xdr:row>
      <xdr:rowOff>161925</xdr:rowOff>
    </xdr:to>
    <xdr:pic>
      <xdr:nvPicPr>
        <xdr:cNvPr id="34814" name="Picture 14" descr="logoMTL">
          <a:extLst>
            <a:ext uri="{FF2B5EF4-FFF2-40B4-BE49-F238E27FC236}">
              <a16:creationId xmlns:a16="http://schemas.microsoft.com/office/drawing/2014/main" xmlns="" id="{00000000-0008-0000-0900-0000FE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393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181</xdr:row>
      <xdr:rowOff>28575</xdr:rowOff>
    </xdr:from>
    <xdr:to>
      <xdr:col>13</xdr:col>
      <xdr:colOff>1171575</xdr:colOff>
      <xdr:row>182</xdr:row>
      <xdr:rowOff>152400</xdr:rowOff>
    </xdr:to>
    <xdr:pic>
      <xdr:nvPicPr>
        <xdr:cNvPr id="34815" name="Picture 15" descr="logoMTL">
          <a:extLst>
            <a:ext uri="{FF2B5EF4-FFF2-40B4-BE49-F238E27FC236}">
              <a16:creationId xmlns:a16="http://schemas.microsoft.com/office/drawing/2014/main" xmlns="" id="{00000000-0008-0000-0900-0000FF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880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280</xdr:row>
      <xdr:rowOff>0</xdr:rowOff>
    </xdr:from>
    <xdr:to>
      <xdr:col>13</xdr:col>
      <xdr:colOff>1228725</xdr:colOff>
      <xdr:row>281</xdr:row>
      <xdr:rowOff>123825</xdr:rowOff>
    </xdr:to>
    <xdr:pic>
      <xdr:nvPicPr>
        <xdr:cNvPr id="61440" name="Picture 16" descr="logoMTL">
          <a:extLst>
            <a:ext uri="{FF2B5EF4-FFF2-40B4-BE49-F238E27FC236}">
              <a16:creationId xmlns:a16="http://schemas.microsoft.com/office/drawing/2014/main" xmlns="" id="{00000000-0008-0000-0900-000000F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6740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35825" name="Picture 1" descr="C:\WINDOWS\TEMP\Symbol.gif">
          <a:extLst>
            <a:ext uri="{FF2B5EF4-FFF2-40B4-BE49-F238E27FC236}">
              <a16:creationId xmlns:a16="http://schemas.microsoft.com/office/drawing/2014/main" xmlns="" id="{00000000-0008-0000-0A00-0000F1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114</xdr:row>
      <xdr:rowOff>161925</xdr:rowOff>
    </xdr:from>
    <xdr:to>
      <xdr:col>1</xdr:col>
      <xdr:colOff>28575</xdr:colOff>
      <xdr:row>115</xdr:row>
      <xdr:rowOff>200025</xdr:rowOff>
    </xdr:to>
    <xdr:pic>
      <xdr:nvPicPr>
        <xdr:cNvPr id="35826" name="Picture 2" descr="C:\WINDOWS\TEMP\Symbol.gif">
          <a:extLst>
            <a:ext uri="{FF2B5EF4-FFF2-40B4-BE49-F238E27FC236}">
              <a16:creationId xmlns:a16="http://schemas.microsoft.com/office/drawing/2014/main" xmlns="" id="{00000000-0008-0000-0A00-0000F2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517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181</xdr:row>
      <xdr:rowOff>171450</xdr:rowOff>
    </xdr:from>
    <xdr:to>
      <xdr:col>1</xdr:col>
      <xdr:colOff>47625</xdr:colOff>
      <xdr:row>182</xdr:row>
      <xdr:rowOff>209550</xdr:rowOff>
    </xdr:to>
    <xdr:pic>
      <xdr:nvPicPr>
        <xdr:cNvPr id="35827" name="Picture 3" descr="C:\WINDOWS\TEMP\Symbol.gif">
          <a:extLst>
            <a:ext uri="{FF2B5EF4-FFF2-40B4-BE49-F238E27FC236}">
              <a16:creationId xmlns:a16="http://schemas.microsoft.com/office/drawing/2014/main" xmlns="" id="{00000000-0008-0000-0A00-0000F38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7023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280</xdr:row>
      <xdr:rowOff>161925</xdr:rowOff>
    </xdr:from>
    <xdr:to>
      <xdr:col>1</xdr:col>
      <xdr:colOff>19050</xdr:colOff>
      <xdr:row>281</xdr:row>
      <xdr:rowOff>200025</xdr:rowOff>
    </xdr:to>
    <xdr:pic>
      <xdr:nvPicPr>
        <xdr:cNvPr id="35828" name="Picture 4" descr="C:\WINDOWS\TEMP\Symbol.gif">
          <a:extLst>
            <a:ext uri="{FF2B5EF4-FFF2-40B4-BE49-F238E27FC236}">
              <a16:creationId xmlns:a16="http://schemas.microsoft.com/office/drawing/2014/main" xmlns="" id="{00000000-0008-0000-0A00-0000F4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6902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280</xdr:row>
      <xdr:rowOff>123825</xdr:rowOff>
    </xdr:from>
    <xdr:to>
      <xdr:col>14</xdr:col>
      <xdr:colOff>1895475</xdr:colOff>
      <xdr:row>281</xdr:row>
      <xdr:rowOff>152400</xdr:rowOff>
    </xdr:to>
    <xdr:pic>
      <xdr:nvPicPr>
        <xdr:cNvPr id="35829" name="Picture 5" descr="C:\WINDOWS\TEMP\~0003946.gif">
          <a:extLst>
            <a:ext uri="{FF2B5EF4-FFF2-40B4-BE49-F238E27FC236}">
              <a16:creationId xmlns:a16="http://schemas.microsoft.com/office/drawing/2014/main" xmlns="" id="{00000000-0008-0000-0A00-0000F58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56864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181</xdr:row>
      <xdr:rowOff>152400</xdr:rowOff>
    </xdr:from>
    <xdr:to>
      <xdr:col>14</xdr:col>
      <xdr:colOff>1924050</xdr:colOff>
      <xdr:row>182</xdr:row>
      <xdr:rowOff>180975</xdr:rowOff>
    </xdr:to>
    <xdr:pic>
      <xdr:nvPicPr>
        <xdr:cNvPr id="35830" name="Picture 6" descr="C:\WINDOWS\TEMP\~0003946.gif">
          <a:extLst>
            <a:ext uri="{FF2B5EF4-FFF2-40B4-BE49-F238E27FC236}">
              <a16:creationId xmlns:a16="http://schemas.microsoft.com/office/drawing/2014/main" xmlns="" id="{00000000-0008-0000-0A00-0000F68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700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114</xdr:row>
      <xdr:rowOff>161925</xdr:rowOff>
    </xdr:from>
    <xdr:to>
      <xdr:col>14</xdr:col>
      <xdr:colOff>1952625</xdr:colOff>
      <xdr:row>115</xdr:row>
      <xdr:rowOff>190500</xdr:rowOff>
    </xdr:to>
    <xdr:pic>
      <xdr:nvPicPr>
        <xdr:cNvPr id="35831" name="Picture 7" descr="C:\WINDOWS\TEMP\~0003946.gif">
          <a:extLst>
            <a:ext uri="{FF2B5EF4-FFF2-40B4-BE49-F238E27FC236}">
              <a16:creationId xmlns:a16="http://schemas.microsoft.com/office/drawing/2014/main" xmlns="" id="{00000000-0008-0000-0A00-0000F78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51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35832" name="Picture 8" descr="C:\WINDOWS\TEMP\~0003946.gif">
          <a:extLst>
            <a:ext uri="{FF2B5EF4-FFF2-40B4-BE49-F238E27FC236}">
              <a16:creationId xmlns:a16="http://schemas.microsoft.com/office/drawing/2014/main" xmlns="" id="{00000000-0008-0000-0A00-0000F88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35833" name="Picture 9" descr="C:\WINDOWS\TEMP\~0003946.gif">
          <a:extLst>
            <a:ext uri="{FF2B5EF4-FFF2-40B4-BE49-F238E27FC236}">
              <a16:creationId xmlns:a16="http://schemas.microsoft.com/office/drawing/2014/main" xmlns="" id="{00000000-0008-0000-0A00-0000F98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114</xdr:row>
      <xdr:rowOff>123825</xdr:rowOff>
    </xdr:from>
    <xdr:to>
      <xdr:col>14</xdr:col>
      <xdr:colOff>895350</xdr:colOff>
      <xdr:row>115</xdr:row>
      <xdr:rowOff>152400</xdr:rowOff>
    </xdr:to>
    <xdr:pic>
      <xdr:nvPicPr>
        <xdr:cNvPr id="35834" name="Picture 10" descr="C:\WINDOWS\TEMP\~0003946.gif">
          <a:extLst>
            <a:ext uri="{FF2B5EF4-FFF2-40B4-BE49-F238E27FC236}">
              <a16:creationId xmlns:a16="http://schemas.microsoft.com/office/drawing/2014/main" xmlns="" id="{00000000-0008-0000-0A00-0000FA8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479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181</xdr:row>
      <xdr:rowOff>104775</xdr:rowOff>
    </xdr:from>
    <xdr:to>
      <xdr:col>14</xdr:col>
      <xdr:colOff>809625</xdr:colOff>
      <xdr:row>182</xdr:row>
      <xdr:rowOff>133350</xdr:rowOff>
    </xdr:to>
    <xdr:pic>
      <xdr:nvPicPr>
        <xdr:cNvPr id="35835" name="Picture 11" descr="C:\WINDOWS\TEMP\~0003946.gif">
          <a:extLst>
            <a:ext uri="{FF2B5EF4-FFF2-40B4-BE49-F238E27FC236}">
              <a16:creationId xmlns:a16="http://schemas.microsoft.com/office/drawing/2014/main" xmlns="" id="{00000000-0008-0000-0A00-0000FB8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957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280</xdr:row>
      <xdr:rowOff>104775</xdr:rowOff>
    </xdr:from>
    <xdr:to>
      <xdr:col>14</xdr:col>
      <xdr:colOff>895350</xdr:colOff>
      <xdr:row>281</xdr:row>
      <xdr:rowOff>133350</xdr:rowOff>
    </xdr:to>
    <xdr:pic>
      <xdr:nvPicPr>
        <xdr:cNvPr id="35836" name="Picture 12" descr="C:\WINDOWS\TEMP\~0003946.gif">
          <a:extLst>
            <a:ext uri="{FF2B5EF4-FFF2-40B4-BE49-F238E27FC236}">
              <a16:creationId xmlns:a16="http://schemas.microsoft.com/office/drawing/2014/main" xmlns="" id="{00000000-0008-0000-0A00-0000FC8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5684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35837" name="Picture 13" descr="logoMTL">
          <a:extLst>
            <a:ext uri="{FF2B5EF4-FFF2-40B4-BE49-F238E27FC236}">
              <a16:creationId xmlns:a16="http://schemas.microsoft.com/office/drawing/2014/main" xmlns="" id="{00000000-0008-0000-0A00-0000FD8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114</xdr:row>
      <xdr:rowOff>38100</xdr:rowOff>
    </xdr:from>
    <xdr:to>
      <xdr:col>13</xdr:col>
      <xdr:colOff>1171575</xdr:colOff>
      <xdr:row>115</xdr:row>
      <xdr:rowOff>161925</xdr:rowOff>
    </xdr:to>
    <xdr:pic>
      <xdr:nvPicPr>
        <xdr:cNvPr id="35838" name="Picture 14" descr="logoMTL">
          <a:extLst>
            <a:ext uri="{FF2B5EF4-FFF2-40B4-BE49-F238E27FC236}">
              <a16:creationId xmlns:a16="http://schemas.microsoft.com/office/drawing/2014/main" xmlns="" id="{00000000-0008-0000-0A00-0000FE8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393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181</xdr:row>
      <xdr:rowOff>28575</xdr:rowOff>
    </xdr:from>
    <xdr:to>
      <xdr:col>13</xdr:col>
      <xdr:colOff>1171575</xdr:colOff>
      <xdr:row>182</xdr:row>
      <xdr:rowOff>152400</xdr:rowOff>
    </xdr:to>
    <xdr:pic>
      <xdr:nvPicPr>
        <xdr:cNvPr id="35839" name="Picture 15" descr="logoMTL">
          <a:extLst>
            <a:ext uri="{FF2B5EF4-FFF2-40B4-BE49-F238E27FC236}">
              <a16:creationId xmlns:a16="http://schemas.microsoft.com/office/drawing/2014/main" xmlns="" id="{00000000-0008-0000-0A00-0000FF8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880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280</xdr:row>
      <xdr:rowOff>0</xdr:rowOff>
    </xdr:from>
    <xdr:to>
      <xdr:col>13</xdr:col>
      <xdr:colOff>1228725</xdr:colOff>
      <xdr:row>281</xdr:row>
      <xdr:rowOff>123825</xdr:rowOff>
    </xdr:to>
    <xdr:pic>
      <xdr:nvPicPr>
        <xdr:cNvPr id="62464" name="Picture 16" descr="logoMTL">
          <a:extLst>
            <a:ext uri="{FF2B5EF4-FFF2-40B4-BE49-F238E27FC236}">
              <a16:creationId xmlns:a16="http://schemas.microsoft.com/office/drawing/2014/main" xmlns="" id="{00000000-0008-0000-0A00-000000F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6740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36849" name="Picture 1" descr="C:\WINDOWS\TEMP\Symbol.gif">
          <a:extLst>
            <a:ext uri="{FF2B5EF4-FFF2-40B4-BE49-F238E27FC236}">
              <a16:creationId xmlns:a16="http://schemas.microsoft.com/office/drawing/2014/main" xmlns="" id="{00000000-0008-0000-0B00-0000F1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114</xdr:row>
      <xdr:rowOff>161925</xdr:rowOff>
    </xdr:from>
    <xdr:to>
      <xdr:col>1</xdr:col>
      <xdr:colOff>28575</xdr:colOff>
      <xdr:row>115</xdr:row>
      <xdr:rowOff>200025</xdr:rowOff>
    </xdr:to>
    <xdr:pic>
      <xdr:nvPicPr>
        <xdr:cNvPr id="36850" name="Picture 2" descr="C:\WINDOWS\TEMP\Symbol.gif">
          <a:extLst>
            <a:ext uri="{FF2B5EF4-FFF2-40B4-BE49-F238E27FC236}">
              <a16:creationId xmlns:a16="http://schemas.microsoft.com/office/drawing/2014/main" xmlns="" id="{00000000-0008-0000-0B00-0000F2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517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181</xdr:row>
      <xdr:rowOff>171450</xdr:rowOff>
    </xdr:from>
    <xdr:to>
      <xdr:col>1</xdr:col>
      <xdr:colOff>47625</xdr:colOff>
      <xdr:row>182</xdr:row>
      <xdr:rowOff>209550</xdr:rowOff>
    </xdr:to>
    <xdr:pic>
      <xdr:nvPicPr>
        <xdr:cNvPr id="36851" name="Picture 3" descr="C:\WINDOWS\TEMP\Symbol.gif">
          <a:extLst>
            <a:ext uri="{FF2B5EF4-FFF2-40B4-BE49-F238E27FC236}">
              <a16:creationId xmlns:a16="http://schemas.microsoft.com/office/drawing/2014/main" xmlns="" id="{00000000-0008-0000-0B00-0000F3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023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280</xdr:row>
      <xdr:rowOff>161925</xdr:rowOff>
    </xdr:from>
    <xdr:to>
      <xdr:col>1</xdr:col>
      <xdr:colOff>19050</xdr:colOff>
      <xdr:row>281</xdr:row>
      <xdr:rowOff>200025</xdr:rowOff>
    </xdr:to>
    <xdr:pic>
      <xdr:nvPicPr>
        <xdr:cNvPr id="36852" name="Picture 4" descr="C:\WINDOWS\TEMP\Symbol.gif">
          <a:extLst>
            <a:ext uri="{FF2B5EF4-FFF2-40B4-BE49-F238E27FC236}">
              <a16:creationId xmlns:a16="http://schemas.microsoft.com/office/drawing/2014/main" xmlns="" id="{00000000-0008-0000-0B00-0000F48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902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280</xdr:row>
      <xdr:rowOff>123825</xdr:rowOff>
    </xdr:from>
    <xdr:to>
      <xdr:col>14</xdr:col>
      <xdr:colOff>1895475</xdr:colOff>
      <xdr:row>281</xdr:row>
      <xdr:rowOff>152400</xdr:rowOff>
    </xdr:to>
    <xdr:pic>
      <xdr:nvPicPr>
        <xdr:cNvPr id="36853" name="Picture 5" descr="C:\WINDOWS\TEMP\~0003946.gif">
          <a:extLst>
            <a:ext uri="{FF2B5EF4-FFF2-40B4-BE49-F238E27FC236}">
              <a16:creationId xmlns:a16="http://schemas.microsoft.com/office/drawing/2014/main" xmlns="" id="{00000000-0008-0000-0B00-0000F5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56864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181</xdr:row>
      <xdr:rowOff>152400</xdr:rowOff>
    </xdr:from>
    <xdr:to>
      <xdr:col>14</xdr:col>
      <xdr:colOff>1924050</xdr:colOff>
      <xdr:row>182</xdr:row>
      <xdr:rowOff>180975</xdr:rowOff>
    </xdr:to>
    <xdr:pic>
      <xdr:nvPicPr>
        <xdr:cNvPr id="36854" name="Picture 6" descr="C:\WINDOWS\TEMP\~0003946.gif">
          <a:extLst>
            <a:ext uri="{FF2B5EF4-FFF2-40B4-BE49-F238E27FC236}">
              <a16:creationId xmlns:a16="http://schemas.microsoft.com/office/drawing/2014/main" xmlns="" id="{00000000-0008-0000-0B00-0000F6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700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114</xdr:row>
      <xdr:rowOff>161925</xdr:rowOff>
    </xdr:from>
    <xdr:to>
      <xdr:col>14</xdr:col>
      <xdr:colOff>1952625</xdr:colOff>
      <xdr:row>115</xdr:row>
      <xdr:rowOff>190500</xdr:rowOff>
    </xdr:to>
    <xdr:pic>
      <xdr:nvPicPr>
        <xdr:cNvPr id="36855" name="Picture 7" descr="C:\WINDOWS\TEMP\~0003946.gif">
          <a:extLst>
            <a:ext uri="{FF2B5EF4-FFF2-40B4-BE49-F238E27FC236}">
              <a16:creationId xmlns:a16="http://schemas.microsoft.com/office/drawing/2014/main" xmlns="" id="{00000000-0008-0000-0B00-0000F7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51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36856" name="Picture 8" descr="C:\WINDOWS\TEMP\~0003946.gif">
          <a:extLst>
            <a:ext uri="{FF2B5EF4-FFF2-40B4-BE49-F238E27FC236}">
              <a16:creationId xmlns:a16="http://schemas.microsoft.com/office/drawing/2014/main" xmlns="" id="{00000000-0008-0000-0B00-0000F8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36857" name="Picture 9" descr="C:\WINDOWS\TEMP\~0003946.gif">
          <a:extLst>
            <a:ext uri="{FF2B5EF4-FFF2-40B4-BE49-F238E27FC236}">
              <a16:creationId xmlns:a16="http://schemas.microsoft.com/office/drawing/2014/main" xmlns="" id="{00000000-0008-0000-0B00-0000F9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114</xdr:row>
      <xdr:rowOff>123825</xdr:rowOff>
    </xdr:from>
    <xdr:to>
      <xdr:col>14</xdr:col>
      <xdr:colOff>895350</xdr:colOff>
      <xdr:row>115</xdr:row>
      <xdr:rowOff>152400</xdr:rowOff>
    </xdr:to>
    <xdr:pic>
      <xdr:nvPicPr>
        <xdr:cNvPr id="36858" name="Picture 10" descr="C:\WINDOWS\TEMP\~0003946.gif">
          <a:extLst>
            <a:ext uri="{FF2B5EF4-FFF2-40B4-BE49-F238E27FC236}">
              <a16:creationId xmlns:a16="http://schemas.microsoft.com/office/drawing/2014/main" xmlns="" id="{00000000-0008-0000-0B00-0000FA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479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181</xdr:row>
      <xdr:rowOff>104775</xdr:rowOff>
    </xdr:from>
    <xdr:to>
      <xdr:col>14</xdr:col>
      <xdr:colOff>809625</xdr:colOff>
      <xdr:row>182</xdr:row>
      <xdr:rowOff>133350</xdr:rowOff>
    </xdr:to>
    <xdr:pic>
      <xdr:nvPicPr>
        <xdr:cNvPr id="36859" name="Picture 11" descr="C:\WINDOWS\TEMP\~0003946.gif">
          <a:extLst>
            <a:ext uri="{FF2B5EF4-FFF2-40B4-BE49-F238E27FC236}">
              <a16:creationId xmlns:a16="http://schemas.microsoft.com/office/drawing/2014/main" xmlns="" id="{00000000-0008-0000-0B00-0000FB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957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280</xdr:row>
      <xdr:rowOff>104775</xdr:rowOff>
    </xdr:from>
    <xdr:to>
      <xdr:col>14</xdr:col>
      <xdr:colOff>895350</xdr:colOff>
      <xdr:row>281</xdr:row>
      <xdr:rowOff>133350</xdr:rowOff>
    </xdr:to>
    <xdr:pic>
      <xdr:nvPicPr>
        <xdr:cNvPr id="36860" name="Picture 12" descr="C:\WINDOWS\TEMP\~0003946.gif">
          <a:extLst>
            <a:ext uri="{FF2B5EF4-FFF2-40B4-BE49-F238E27FC236}">
              <a16:creationId xmlns:a16="http://schemas.microsoft.com/office/drawing/2014/main" xmlns="" id="{00000000-0008-0000-0B00-0000FC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5684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36861" name="Picture 13" descr="logoMTL">
          <a:extLst>
            <a:ext uri="{FF2B5EF4-FFF2-40B4-BE49-F238E27FC236}">
              <a16:creationId xmlns:a16="http://schemas.microsoft.com/office/drawing/2014/main" xmlns="" id="{00000000-0008-0000-0B00-0000FD8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114</xdr:row>
      <xdr:rowOff>38100</xdr:rowOff>
    </xdr:from>
    <xdr:to>
      <xdr:col>13</xdr:col>
      <xdr:colOff>1171575</xdr:colOff>
      <xdr:row>115</xdr:row>
      <xdr:rowOff>161925</xdr:rowOff>
    </xdr:to>
    <xdr:pic>
      <xdr:nvPicPr>
        <xdr:cNvPr id="36862" name="Picture 14" descr="logoMTL">
          <a:extLst>
            <a:ext uri="{FF2B5EF4-FFF2-40B4-BE49-F238E27FC236}">
              <a16:creationId xmlns:a16="http://schemas.microsoft.com/office/drawing/2014/main" xmlns="" id="{00000000-0008-0000-0B00-0000FE8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393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181</xdr:row>
      <xdr:rowOff>28575</xdr:rowOff>
    </xdr:from>
    <xdr:to>
      <xdr:col>13</xdr:col>
      <xdr:colOff>1171575</xdr:colOff>
      <xdr:row>182</xdr:row>
      <xdr:rowOff>152400</xdr:rowOff>
    </xdr:to>
    <xdr:pic>
      <xdr:nvPicPr>
        <xdr:cNvPr id="36863" name="Picture 15" descr="logoMTL">
          <a:extLst>
            <a:ext uri="{FF2B5EF4-FFF2-40B4-BE49-F238E27FC236}">
              <a16:creationId xmlns:a16="http://schemas.microsoft.com/office/drawing/2014/main" xmlns="" id="{00000000-0008-0000-0B00-0000FF8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880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280</xdr:row>
      <xdr:rowOff>0</xdr:rowOff>
    </xdr:from>
    <xdr:to>
      <xdr:col>13</xdr:col>
      <xdr:colOff>1228725</xdr:colOff>
      <xdr:row>281</xdr:row>
      <xdr:rowOff>123825</xdr:rowOff>
    </xdr:to>
    <xdr:pic>
      <xdr:nvPicPr>
        <xdr:cNvPr id="63488" name="Picture 16" descr="logoMTL">
          <a:extLst>
            <a:ext uri="{FF2B5EF4-FFF2-40B4-BE49-F238E27FC236}">
              <a16:creationId xmlns:a16="http://schemas.microsoft.com/office/drawing/2014/main" xmlns="" id="{00000000-0008-0000-0B00-000000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6740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37873" name="Picture 1" descr="C:\WINDOWS\TEMP\Symbol.gif">
          <a:extLst>
            <a:ext uri="{FF2B5EF4-FFF2-40B4-BE49-F238E27FC236}">
              <a16:creationId xmlns:a16="http://schemas.microsoft.com/office/drawing/2014/main" xmlns="" id="{00000000-0008-0000-0C00-0000F1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7874" name="Picture 2" descr="C:\WINDOWS\TEMP\Symbol.gif">
          <a:extLst>
            <a:ext uri="{FF2B5EF4-FFF2-40B4-BE49-F238E27FC236}">
              <a16:creationId xmlns:a16="http://schemas.microsoft.com/office/drawing/2014/main" xmlns="" id="{00000000-0008-0000-0C00-0000F2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37875" name="Picture 3" descr="C:\WINDOWS\TEMP\Symbol.gif">
          <a:extLst>
            <a:ext uri="{FF2B5EF4-FFF2-40B4-BE49-F238E27FC236}">
              <a16:creationId xmlns:a16="http://schemas.microsoft.com/office/drawing/2014/main" xmlns="" id="{00000000-0008-0000-0C00-0000F3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279</xdr:row>
      <xdr:rowOff>161925</xdr:rowOff>
    </xdr:from>
    <xdr:to>
      <xdr:col>1</xdr:col>
      <xdr:colOff>19050</xdr:colOff>
      <xdr:row>280</xdr:row>
      <xdr:rowOff>200025</xdr:rowOff>
    </xdr:to>
    <xdr:pic>
      <xdr:nvPicPr>
        <xdr:cNvPr id="37876" name="Picture 4" descr="C:\WINDOWS\TEMP\Symbol.gif">
          <a:extLst>
            <a:ext uri="{FF2B5EF4-FFF2-40B4-BE49-F238E27FC236}">
              <a16:creationId xmlns:a16="http://schemas.microsoft.com/office/drawing/2014/main" xmlns="" id="{00000000-0008-0000-0C00-0000F49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6928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279</xdr:row>
      <xdr:rowOff>123825</xdr:rowOff>
    </xdr:from>
    <xdr:to>
      <xdr:col>14</xdr:col>
      <xdr:colOff>1895475</xdr:colOff>
      <xdr:row>280</xdr:row>
      <xdr:rowOff>152400</xdr:rowOff>
    </xdr:to>
    <xdr:pic>
      <xdr:nvPicPr>
        <xdr:cNvPr id="37877" name="Picture 5" descr="C:\WINDOWS\TEMP\~0003946.gif">
          <a:extLst>
            <a:ext uri="{FF2B5EF4-FFF2-40B4-BE49-F238E27FC236}">
              <a16:creationId xmlns:a16="http://schemas.microsoft.com/office/drawing/2014/main" xmlns="" id="{00000000-0008-0000-0C00-0000F5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56654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37878" name="Picture 6" descr="C:\WINDOWS\TEMP\~0003946.gif">
          <a:extLst>
            <a:ext uri="{FF2B5EF4-FFF2-40B4-BE49-F238E27FC236}">
              <a16:creationId xmlns:a16="http://schemas.microsoft.com/office/drawing/2014/main" xmlns="" id="{00000000-0008-0000-0C00-0000F6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37879" name="Picture 7" descr="C:\WINDOWS\TEMP\~0003946.gif">
          <a:extLst>
            <a:ext uri="{FF2B5EF4-FFF2-40B4-BE49-F238E27FC236}">
              <a16:creationId xmlns:a16="http://schemas.microsoft.com/office/drawing/2014/main" xmlns="" id="{00000000-0008-0000-0C00-0000F7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37880" name="Picture 8" descr="C:\WINDOWS\TEMP\~0003946.gif">
          <a:extLst>
            <a:ext uri="{FF2B5EF4-FFF2-40B4-BE49-F238E27FC236}">
              <a16:creationId xmlns:a16="http://schemas.microsoft.com/office/drawing/2014/main" xmlns="" id="{00000000-0008-0000-0C00-0000F8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37881" name="Picture 9" descr="C:\WINDOWS\TEMP\~0003946.gif">
          <a:extLst>
            <a:ext uri="{FF2B5EF4-FFF2-40B4-BE49-F238E27FC236}">
              <a16:creationId xmlns:a16="http://schemas.microsoft.com/office/drawing/2014/main" xmlns="" id="{00000000-0008-0000-0C00-0000F9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37882" name="Picture 10" descr="C:\WINDOWS\TEMP\~0003946.gif">
          <a:extLst>
            <a:ext uri="{FF2B5EF4-FFF2-40B4-BE49-F238E27FC236}">
              <a16:creationId xmlns:a16="http://schemas.microsoft.com/office/drawing/2014/main" xmlns="" id="{00000000-0008-0000-0C00-0000FA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37883" name="Picture 11" descr="C:\WINDOWS\TEMP\~0003946.gif">
          <a:extLst>
            <a:ext uri="{FF2B5EF4-FFF2-40B4-BE49-F238E27FC236}">
              <a16:creationId xmlns:a16="http://schemas.microsoft.com/office/drawing/2014/main" xmlns="" id="{00000000-0008-0000-0C00-0000FB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279</xdr:row>
      <xdr:rowOff>104775</xdr:rowOff>
    </xdr:from>
    <xdr:to>
      <xdr:col>14</xdr:col>
      <xdr:colOff>895350</xdr:colOff>
      <xdr:row>280</xdr:row>
      <xdr:rowOff>133350</xdr:rowOff>
    </xdr:to>
    <xdr:pic>
      <xdr:nvPicPr>
        <xdr:cNvPr id="37884" name="Picture 12" descr="C:\WINDOWS\TEMP\~0003946.gif">
          <a:extLst>
            <a:ext uri="{FF2B5EF4-FFF2-40B4-BE49-F238E27FC236}">
              <a16:creationId xmlns:a16="http://schemas.microsoft.com/office/drawing/2014/main" xmlns="" id="{00000000-0008-0000-0C00-0000FC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56635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37885" name="Picture 13" descr="logoMTL">
          <a:extLst>
            <a:ext uri="{FF2B5EF4-FFF2-40B4-BE49-F238E27FC236}">
              <a16:creationId xmlns:a16="http://schemas.microsoft.com/office/drawing/2014/main" xmlns="" id="{00000000-0008-0000-0C00-0000FD9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37886" name="Picture 14" descr="logoMTL">
          <a:extLst>
            <a:ext uri="{FF2B5EF4-FFF2-40B4-BE49-F238E27FC236}">
              <a16:creationId xmlns:a16="http://schemas.microsoft.com/office/drawing/2014/main" xmlns="" id="{00000000-0008-0000-0C00-0000FE9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37887" name="Picture 15" descr="logoMTL">
          <a:extLst>
            <a:ext uri="{FF2B5EF4-FFF2-40B4-BE49-F238E27FC236}">
              <a16:creationId xmlns:a16="http://schemas.microsoft.com/office/drawing/2014/main" xmlns="" id="{00000000-0008-0000-0C00-0000FF9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279</xdr:row>
      <xdr:rowOff>0</xdr:rowOff>
    </xdr:from>
    <xdr:to>
      <xdr:col>13</xdr:col>
      <xdr:colOff>1228725</xdr:colOff>
      <xdr:row>280</xdr:row>
      <xdr:rowOff>123825</xdr:rowOff>
    </xdr:to>
    <xdr:pic>
      <xdr:nvPicPr>
        <xdr:cNvPr id="64512" name="Picture 16" descr="logoMTL">
          <a:extLst>
            <a:ext uri="{FF2B5EF4-FFF2-40B4-BE49-F238E27FC236}">
              <a16:creationId xmlns:a16="http://schemas.microsoft.com/office/drawing/2014/main" xmlns="" id="{00000000-0008-0000-0C00-000000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65308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38897" name="Picture 1" descr="C:\WINDOWS\TEMP\Symbol.gif">
          <a:extLst>
            <a:ext uri="{FF2B5EF4-FFF2-40B4-BE49-F238E27FC236}">
              <a16:creationId xmlns:a16="http://schemas.microsoft.com/office/drawing/2014/main" xmlns="" id="{00000000-0008-0000-0D00-0000F1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8898" name="Picture 2" descr="C:\WINDOWS\TEMP\Symbol.gif">
          <a:extLst>
            <a:ext uri="{FF2B5EF4-FFF2-40B4-BE49-F238E27FC236}">
              <a16:creationId xmlns:a16="http://schemas.microsoft.com/office/drawing/2014/main" xmlns="" id="{00000000-0008-0000-0D00-0000F2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38899" name="Picture 3" descr="C:\WINDOWS\TEMP\Symbol.gif">
          <a:extLst>
            <a:ext uri="{FF2B5EF4-FFF2-40B4-BE49-F238E27FC236}">
              <a16:creationId xmlns:a16="http://schemas.microsoft.com/office/drawing/2014/main" xmlns="" id="{00000000-0008-0000-0D00-0000F3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38900" name="Picture 4" descr="C:\WINDOWS\TEMP\Symbol.gif">
          <a:extLst>
            <a:ext uri="{FF2B5EF4-FFF2-40B4-BE49-F238E27FC236}">
              <a16:creationId xmlns:a16="http://schemas.microsoft.com/office/drawing/2014/main" xmlns="" id="{00000000-0008-0000-0D00-0000F49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38901" name="Picture 5" descr="C:\WINDOWS\TEMP\~0003946.gif">
          <a:extLst>
            <a:ext uri="{FF2B5EF4-FFF2-40B4-BE49-F238E27FC236}">
              <a16:creationId xmlns:a16="http://schemas.microsoft.com/office/drawing/2014/main" xmlns="" id="{00000000-0008-0000-0D00-0000F5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38902" name="Picture 6" descr="C:\WINDOWS\TEMP\~0003946.gif">
          <a:extLst>
            <a:ext uri="{FF2B5EF4-FFF2-40B4-BE49-F238E27FC236}">
              <a16:creationId xmlns:a16="http://schemas.microsoft.com/office/drawing/2014/main" xmlns="" id="{00000000-0008-0000-0D00-0000F6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38903" name="Picture 7" descr="C:\WINDOWS\TEMP\~0003946.gif">
          <a:extLst>
            <a:ext uri="{FF2B5EF4-FFF2-40B4-BE49-F238E27FC236}">
              <a16:creationId xmlns:a16="http://schemas.microsoft.com/office/drawing/2014/main" xmlns="" id="{00000000-0008-0000-0D00-0000F7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38904" name="Picture 8" descr="C:\WINDOWS\TEMP\~0003946.gif">
          <a:extLst>
            <a:ext uri="{FF2B5EF4-FFF2-40B4-BE49-F238E27FC236}">
              <a16:creationId xmlns:a16="http://schemas.microsoft.com/office/drawing/2014/main" xmlns="" id="{00000000-0008-0000-0D00-0000F8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38905" name="Picture 9" descr="C:\WINDOWS\TEMP\~0003946.gif">
          <a:extLst>
            <a:ext uri="{FF2B5EF4-FFF2-40B4-BE49-F238E27FC236}">
              <a16:creationId xmlns:a16="http://schemas.microsoft.com/office/drawing/2014/main" xmlns="" id="{00000000-0008-0000-0D00-0000F9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38906" name="Picture 10" descr="C:\WINDOWS\TEMP\~0003946.gif">
          <a:extLst>
            <a:ext uri="{FF2B5EF4-FFF2-40B4-BE49-F238E27FC236}">
              <a16:creationId xmlns:a16="http://schemas.microsoft.com/office/drawing/2014/main" xmlns="" id="{00000000-0008-0000-0D00-0000FA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38907" name="Picture 11" descr="C:\WINDOWS\TEMP\~0003946.gif">
          <a:extLst>
            <a:ext uri="{FF2B5EF4-FFF2-40B4-BE49-F238E27FC236}">
              <a16:creationId xmlns:a16="http://schemas.microsoft.com/office/drawing/2014/main" xmlns="" id="{00000000-0008-0000-0D00-0000FB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38908" name="Picture 12" descr="C:\WINDOWS\TEMP\~0003946.gif">
          <a:extLst>
            <a:ext uri="{FF2B5EF4-FFF2-40B4-BE49-F238E27FC236}">
              <a16:creationId xmlns:a16="http://schemas.microsoft.com/office/drawing/2014/main" xmlns="" id="{00000000-0008-0000-0D00-0000FC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38909" name="Picture 13" descr="logoMTL">
          <a:extLst>
            <a:ext uri="{FF2B5EF4-FFF2-40B4-BE49-F238E27FC236}">
              <a16:creationId xmlns:a16="http://schemas.microsoft.com/office/drawing/2014/main" xmlns="" id="{00000000-0008-0000-0D00-0000FD9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38910" name="Picture 14" descr="logoMTL">
          <a:extLst>
            <a:ext uri="{FF2B5EF4-FFF2-40B4-BE49-F238E27FC236}">
              <a16:creationId xmlns:a16="http://schemas.microsoft.com/office/drawing/2014/main" xmlns="" id="{00000000-0008-0000-0D00-0000FE9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38911" name="Picture 15" descr="logoMTL">
          <a:extLst>
            <a:ext uri="{FF2B5EF4-FFF2-40B4-BE49-F238E27FC236}">
              <a16:creationId xmlns:a16="http://schemas.microsoft.com/office/drawing/2014/main" xmlns="" id="{00000000-0008-0000-0D00-0000FF9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65536" name="Picture 16" descr="logoMTL">
          <a:extLst>
            <a:ext uri="{FF2B5EF4-FFF2-40B4-BE49-F238E27FC236}">
              <a16:creationId xmlns:a16="http://schemas.microsoft.com/office/drawing/2014/main" xmlns="" id="{00000000-0008-0000-0D00-000000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39921" name="Picture 1" descr="C:\WINDOWS\TEMP\Symbol.gif">
          <a:extLst>
            <a:ext uri="{FF2B5EF4-FFF2-40B4-BE49-F238E27FC236}">
              <a16:creationId xmlns:a16="http://schemas.microsoft.com/office/drawing/2014/main" xmlns="" id="{00000000-0008-0000-0E00-0000F1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9922" name="Picture 2" descr="C:\WINDOWS\TEMP\Symbol.gif">
          <a:extLst>
            <a:ext uri="{FF2B5EF4-FFF2-40B4-BE49-F238E27FC236}">
              <a16:creationId xmlns:a16="http://schemas.microsoft.com/office/drawing/2014/main" xmlns="" id="{00000000-0008-0000-0E00-0000F2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39923" name="Picture 3" descr="C:\WINDOWS\TEMP\Symbol.gif">
          <a:extLst>
            <a:ext uri="{FF2B5EF4-FFF2-40B4-BE49-F238E27FC236}">
              <a16:creationId xmlns:a16="http://schemas.microsoft.com/office/drawing/2014/main" xmlns="" id="{00000000-0008-0000-0E00-0000F3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39924" name="Picture 4" descr="C:\WINDOWS\TEMP\Symbol.gif">
          <a:extLst>
            <a:ext uri="{FF2B5EF4-FFF2-40B4-BE49-F238E27FC236}">
              <a16:creationId xmlns:a16="http://schemas.microsoft.com/office/drawing/2014/main" xmlns="" id="{00000000-0008-0000-0E00-0000F49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39925" name="Picture 5" descr="C:\WINDOWS\TEMP\~0003946.gif">
          <a:extLst>
            <a:ext uri="{FF2B5EF4-FFF2-40B4-BE49-F238E27FC236}">
              <a16:creationId xmlns:a16="http://schemas.microsoft.com/office/drawing/2014/main" xmlns="" id="{00000000-0008-0000-0E00-0000F5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39926" name="Picture 6" descr="C:\WINDOWS\TEMP\~0003946.gif">
          <a:extLst>
            <a:ext uri="{FF2B5EF4-FFF2-40B4-BE49-F238E27FC236}">
              <a16:creationId xmlns:a16="http://schemas.microsoft.com/office/drawing/2014/main" xmlns="" id="{00000000-0008-0000-0E00-0000F6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39927" name="Picture 7" descr="C:\WINDOWS\TEMP\~0003946.gif">
          <a:extLst>
            <a:ext uri="{FF2B5EF4-FFF2-40B4-BE49-F238E27FC236}">
              <a16:creationId xmlns:a16="http://schemas.microsoft.com/office/drawing/2014/main" xmlns="" id="{00000000-0008-0000-0E00-0000F7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39928" name="Picture 8" descr="C:\WINDOWS\TEMP\~0003946.gif">
          <a:extLst>
            <a:ext uri="{FF2B5EF4-FFF2-40B4-BE49-F238E27FC236}">
              <a16:creationId xmlns:a16="http://schemas.microsoft.com/office/drawing/2014/main" xmlns="" id="{00000000-0008-0000-0E00-0000F8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39929" name="Picture 9" descr="C:\WINDOWS\TEMP\~0003946.gif">
          <a:extLst>
            <a:ext uri="{FF2B5EF4-FFF2-40B4-BE49-F238E27FC236}">
              <a16:creationId xmlns:a16="http://schemas.microsoft.com/office/drawing/2014/main" xmlns="" id="{00000000-0008-0000-0E00-0000F9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39930" name="Picture 10" descr="C:\WINDOWS\TEMP\~0003946.gif">
          <a:extLst>
            <a:ext uri="{FF2B5EF4-FFF2-40B4-BE49-F238E27FC236}">
              <a16:creationId xmlns:a16="http://schemas.microsoft.com/office/drawing/2014/main" xmlns="" id="{00000000-0008-0000-0E00-0000FA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39931" name="Picture 11" descr="C:\WINDOWS\TEMP\~0003946.gif">
          <a:extLst>
            <a:ext uri="{FF2B5EF4-FFF2-40B4-BE49-F238E27FC236}">
              <a16:creationId xmlns:a16="http://schemas.microsoft.com/office/drawing/2014/main" xmlns="" id="{00000000-0008-0000-0E00-0000FB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39932" name="Picture 12" descr="C:\WINDOWS\TEMP\~0003946.gif">
          <a:extLst>
            <a:ext uri="{FF2B5EF4-FFF2-40B4-BE49-F238E27FC236}">
              <a16:creationId xmlns:a16="http://schemas.microsoft.com/office/drawing/2014/main" xmlns="" id="{00000000-0008-0000-0E00-0000FC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39933" name="Picture 13" descr="logoMTL">
          <a:extLst>
            <a:ext uri="{FF2B5EF4-FFF2-40B4-BE49-F238E27FC236}">
              <a16:creationId xmlns:a16="http://schemas.microsoft.com/office/drawing/2014/main" xmlns="" id="{00000000-0008-0000-0E00-0000FD9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39934" name="Picture 14" descr="logoMTL">
          <a:extLst>
            <a:ext uri="{FF2B5EF4-FFF2-40B4-BE49-F238E27FC236}">
              <a16:creationId xmlns:a16="http://schemas.microsoft.com/office/drawing/2014/main" xmlns="" id="{00000000-0008-0000-0E00-0000FE9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39935" name="Picture 15" descr="logoMTL">
          <a:extLst>
            <a:ext uri="{FF2B5EF4-FFF2-40B4-BE49-F238E27FC236}">
              <a16:creationId xmlns:a16="http://schemas.microsoft.com/office/drawing/2014/main" xmlns="" id="{00000000-0008-0000-0E00-0000FF9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66560" name="Picture 16" descr="logoMTL">
          <a:extLst>
            <a:ext uri="{FF2B5EF4-FFF2-40B4-BE49-F238E27FC236}">
              <a16:creationId xmlns:a16="http://schemas.microsoft.com/office/drawing/2014/main" xmlns="" id="{00000000-0008-0000-0E00-000000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40945" name="Picture 1" descr="C:\WINDOWS\TEMP\Symbol.gif">
          <a:extLst>
            <a:ext uri="{FF2B5EF4-FFF2-40B4-BE49-F238E27FC236}">
              <a16:creationId xmlns:a16="http://schemas.microsoft.com/office/drawing/2014/main" xmlns="" id="{00000000-0008-0000-0F00-0000F1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40946" name="Picture 2" descr="C:\WINDOWS\TEMP\Symbol.gif">
          <a:extLst>
            <a:ext uri="{FF2B5EF4-FFF2-40B4-BE49-F238E27FC236}">
              <a16:creationId xmlns:a16="http://schemas.microsoft.com/office/drawing/2014/main" xmlns="" id="{00000000-0008-0000-0F00-0000F2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0947" name="Picture 3" descr="C:\WINDOWS\TEMP\Symbol.gif">
          <a:extLst>
            <a:ext uri="{FF2B5EF4-FFF2-40B4-BE49-F238E27FC236}">
              <a16:creationId xmlns:a16="http://schemas.microsoft.com/office/drawing/2014/main" xmlns="" id="{00000000-0008-0000-0F00-0000F3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40948" name="Picture 4" descr="C:\WINDOWS\TEMP\Symbol.gif">
          <a:extLst>
            <a:ext uri="{FF2B5EF4-FFF2-40B4-BE49-F238E27FC236}">
              <a16:creationId xmlns:a16="http://schemas.microsoft.com/office/drawing/2014/main" xmlns="" id="{00000000-0008-0000-0F00-0000F49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40949" name="Picture 5" descr="C:\WINDOWS\TEMP\~0003946.gif">
          <a:extLst>
            <a:ext uri="{FF2B5EF4-FFF2-40B4-BE49-F238E27FC236}">
              <a16:creationId xmlns:a16="http://schemas.microsoft.com/office/drawing/2014/main" xmlns="" id="{00000000-0008-0000-0F00-0000F5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40950" name="Picture 6" descr="C:\WINDOWS\TEMP\~0003946.gif">
          <a:extLst>
            <a:ext uri="{FF2B5EF4-FFF2-40B4-BE49-F238E27FC236}">
              <a16:creationId xmlns:a16="http://schemas.microsoft.com/office/drawing/2014/main" xmlns="" id="{00000000-0008-0000-0F00-0000F6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0951" name="Picture 7" descr="C:\WINDOWS\TEMP\~0003946.gif">
          <a:extLst>
            <a:ext uri="{FF2B5EF4-FFF2-40B4-BE49-F238E27FC236}">
              <a16:creationId xmlns:a16="http://schemas.microsoft.com/office/drawing/2014/main" xmlns="" id="{00000000-0008-0000-0F00-0000F7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40952" name="Picture 8" descr="C:\WINDOWS\TEMP\~0003946.gif">
          <a:extLst>
            <a:ext uri="{FF2B5EF4-FFF2-40B4-BE49-F238E27FC236}">
              <a16:creationId xmlns:a16="http://schemas.microsoft.com/office/drawing/2014/main" xmlns="" id="{00000000-0008-0000-0F00-0000F8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40953" name="Picture 9" descr="C:\WINDOWS\TEMP\~0003946.gif">
          <a:extLst>
            <a:ext uri="{FF2B5EF4-FFF2-40B4-BE49-F238E27FC236}">
              <a16:creationId xmlns:a16="http://schemas.microsoft.com/office/drawing/2014/main" xmlns="" id="{00000000-0008-0000-0F00-0000F9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40954" name="Picture 10" descr="C:\WINDOWS\TEMP\~0003946.gif">
          <a:extLst>
            <a:ext uri="{FF2B5EF4-FFF2-40B4-BE49-F238E27FC236}">
              <a16:creationId xmlns:a16="http://schemas.microsoft.com/office/drawing/2014/main" xmlns="" id="{00000000-0008-0000-0F00-0000FA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40955" name="Picture 11" descr="C:\WINDOWS\TEMP\~0003946.gif">
          <a:extLst>
            <a:ext uri="{FF2B5EF4-FFF2-40B4-BE49-F238E27FC236}">
              <a16:creationId xmlns:a16="http://schemas.microsoft.com/office/drawing/2014/main" xmlns="" id="{00000000-0008-0000-0F00-0000FB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40956" name="Picture 12" descr="C:\WINDOWS\TEMP\~0003946.gif">
          <a:extLst>
            <a:ext uri="{FF2B5EF4-FFF2-40B4-BE49-F238E27FC236}">
              <a16:creationId xmlns:a16="http://schemas.microsoft.com/office/drawing/2014/main" xmlns="" id="{00000000-0008-0000-0F00-0000FC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40957" name="Picture 13" descr="logoMTL">
          <a:extLst>
            <a:ext uri="{FF2B5EF4-FFF2-40B4-BE49-F238E27FC236}">
              <a16:creationId xmlns:a16="http://schemas.microsoft.com/office/drawing/2014/main" xmlns="" id="{00000000-0008-0000-0F00-0000FD9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40958" name="Picture 14" descr="logoMTL">
          <a:extLst>
            <a:ext uri="{FF2B5EF4-FFF2-40B4-BE49-F238E27FC236}">
              <a16:creationId xmlns:a16="http://schemas.microsoft.com/office/drawing/2014/main" xmlns="" id="{00000000-0008-0000-0F00-0000FE9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40959" name="Picture 15" descr="logoMTL">
          <a:extLst>
            <a:ext uri="{FF2B5EF4-FFF2-40B4-BE49-F238E27FC236}">
              <a16:creationId xmlns:a16="http://schemas.microsoft.com/office/drawing/2014/main" xmlns="" id="{00000000-0008-0000-0F00-0000FF9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67584" name="Picture 16" descr="logoMTL">
          <a:extLst>
            <a:ext uri="{FF2B5EF4-FFF2-40B4-BE49-F238E27FC236}">
              <a16:creationId xmlns:a16="http://schemas.microsoft.com/office/drawing/2014/main" xmlns="" id="{00000000-0008-0000-0F00-000000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42929" name="Picture 1" descr="C:\WINDOWS\TEMP\Symbol.gif">
          <a:extLst>
            <a:ext uri="{FF2B5EF4-FFF2-40B4-BE49-F238E27FC236}">
              <a16:creationId xmlns:a16="http://schemas.microsoft.com/office/drawing/2014/main" xmlns="" id="{00000000-0008-0000-1000-0000B1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42930" name="Picture 2" descr="C:\WINDOWS\TEMP\Symbol.gif">
          <a:extLst>
            <a:ext uri="{FF2B5EF4-FFF2-40B4-BE49-F238E27FC236}">
              <a16:creationId xmlns:a16="http://schemas.microsoft.com/office/drawing/2014/main" xmlns="" id="{00000000-0008-0000-1000-0000B2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2931" name="Picture 3" descr="C:\WINDOWS\TEMP\Symbol.gif">
          <a:extLst>
            <a:ext uri="{FF2B5EF4-FFF2-40B4-BE49-F238E27FC236}">
              <a16:creationId xmlns:a16="http://schemas.microsoft.com/office/drawing/2014/main" xmlns="" id="{00000000-0008-0000-1000-0000B3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42932" name="Picture 4" descr="C:\WINDOWS\TEMP\Symbol.gif">
          <a:extLst>
            <a:ext uri="{FF2B5EF4-FFF2-40B4-BE49-F238E27FC236}">
              <a16:creationId xmlns:a16="http://schemas.microsoft.com/office/drawing/2014/main" xmlns="" id="{00000000-0008-0000-1000-0000B4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42933" name="Picture 5" descr="C:\WINDOWS\TEMP\~0003946.gif">
          <a:extLst>
            <a:ext uri="{FF2B5EF4-FFF2-40B4-BE49-F238E27FC236}">
              <a16:creationId xmlns:a16="http://schemas.microsoft.com/office/drawing/2014/main" xmlns="" id="{00000000-0008-0000-1000-0000B5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42934" name="Picture 6" descr="C:\WINDOWS\TEMP\~0003946.gif">
          <a:extLst>
            <a:ext uri="{FF2B5EF4-FFF2-40B4-BE49-F238E27FC236}">
              <a16:creationId xmlns:a16="http://schemas.microsoft.com/office/drawing/2014/main" xmlns="" id="{00000000-0008-0000-1000-0000B6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2935" name="Picture 7" descr="C:\WINDOWS\TEMP\~0003946.gif">
          <a:extLst>
            <a:ext uri="{FF2B5EF4-FFF2-40B4-BE49-F238E27FC236}">
              <a16:creationId xmlns:a16="http://schemas.microsoft.com/office/drawing/2014/main" xmlns="" id="{00000000-0008-0000-1000-0000B7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42936" name="Picture 8" descr="C:\WINDOWS\TEMP\~0003946.gif">
          <a:extLst>
            <a:ext uri="{FF2B5EF4-FFF2-40B4-BE49-F238E27FC236}">
              <a16:creationId xmlns:a16="http://schemas.microsoft.com/office/drawing/2014/main" xmlns="" id="{00000000-0008-0000-1000-0000B8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42937" name="Picture 10" descr="C:\WINDOWS\TEMP\~0003946.gif">
          <a:extLst>
            <a:ext uri="{FF2B5EF4-FFF2-40B4-BE49-F238E27FC236}">
              <a16:creationId xmlns:a16="http://schemas.microsoft.com/office/drawing/2014/main" xmlns="" id="{00000000-0008-0000-1000-0000B9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42938" name="Picture 11" descr="C:\WINDOWS\TEMP\~0003946.gif">
          <a:extLst>
            <a:ext uri="{FF2B5EF4-FFF2-40B4-BE49-F238E27FC236}">
              <a16:creationId xmlns:a16="http://schemas.microsoft.com/office/drawing/2014/main" xmlns="" id="{00000000-0008-0000-1000-0000BA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42939" name="Picture 12" descr="C:\WINDOWS\TEMP\~0003946.gif">
          <a:extLst>
            <a:ext uri="{FF2B5EF4-FFF2-40B4-BE49-F238E27FC236}">
              <a16:creationId xmlns:a16="http://schemas.microsoft.com/office/drawing/2014/main" xmlns="" id="{00000000-0008-0000-1000-0000BB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42940" name="Picture 13" descr="logoMTL">
          <a:extLst>
            <a:ext uri="{FF2B5EF4-FFF2-40B4-BE49-F238E27FC236}">
              <a16:creationId xmlns:a16="http://schemas.microsoft.com/office/drawing/2014/main" xmlns="" id="{00000000-0008-0000-1000-0000BCA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42941" name="Picture 14" descr="logoMTL">
          <a:extLst>
            <a:ext uri="{FF2B5EF4-FFF2-40B4-BE49-F238E27FC236}">
              <a16:creationId xmlns:a16="http://schemas.microsoft.com/office/drawing/2014/main" xmlns="" id="{00000000-0008-0000-1000-0000BDA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42942" name="Picture 15" descr="logoMTL">
          <a:extLst>
            <a:ext uri="{FF2B5EF4-FFF2-40B4-BE49-F238E27FC236}">
              <a16:creationId xmlns:a16="http://schemas.microsoft.com/office/drawing/2014/main" xmlns="" id="{00000000-0008-0000-1000-0000BEA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42943" name="Picture 16" descr="logoMTL">
          <a:extLst>
            <a:ext uri="{FF2B5EF4-FFF2-40B4-BE49-F238E27FC236}">
              <a16:creationId xmlns:a16="http://schemas.microsoft.com/office/drawing/2014/main" xmlns="" id="{00000000-0008-0000-1000-0000BFA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51</xdr:row>
      <xdr:rowOff>0</xdr:rowOff>
    </xdr:from>
    <xdr:to>
      <xdr:col>14</xdr:col>
      <xdr:colOff>800100</xdr:colOff>
      <xdr:row>51</xdr:row>
      <xdr:rowOff>228600</xdr:rowOff>
    </xdr:to>
    <xdr:pic>
      <xdr:nvPicPr>
        <xdr:cNvPr id="42944" name="Picture 9" descr="C:\WINDOWS\TEMP\~0003946.gif">
          <a:extLst>
            <a:ext uri="{FF2B5EF4-FFF2-40B4-BE49-F238E27FC236}">
              <a16:creationId xmlns:a16="http://schemas.microsoft.com/office/drawing/2014/main" xmlns="" id="{00000000-0008-0000-1000-0000C0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6992600" y="1030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43937" name="Picture 1" descr="C:\WINDOWS\TEMP\Symbol.gif">
          <a:extLst>
            <a:ext uri="{FF2B5EF4-FFF2-40B4-BE49-F238E27FC236}">
              <a16:creationId xmlns:a16="http://schemas.microsoft.com/office/drawing/2014/main" xmlns="" id="{00000000-0008-0000-1100-0000A1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43938" name="Picture 2" descr="C:\WINDOWS\TEMP\Symbol.gif">
          <a:extLst>
            <a:ext uri="{FF2B5EF4-FFF2-40B4-BE49-F238E27FC236}">
              <a16:creationId xmlns:a16="http://schemas.microsoft.com/office/drawing/2014/main" xmlns="" id="{00000000-0008-0000-1100-0000A2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3939" name="Picture 3" descr="C:\WINDOWS\TEMP\Symbol.gif">
          <a:extLst>
            <a:ext uri="{FF2B5EF4-FFF2-40B4-BE49-F238E27FC236}">
              <a16:creationId xmlns:a16="http://schemas.microsoft.com/office/drawing/2014/main" xmlns="" id="{00000000-0008-0000-1100-0000A3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43940" name="Picture 4" descr="C:\WINDOWS\TEMP\Symbol.gif">
          <a:extLst>
            <a:ext uri="{FF2B5EF4-FFF2-40B4-BE49-F238E27FC236}">
              <a16:creationId xmlns:a16="http://schemas.microsoft.com/office/drawing/2014/main" xmlns="" id="{00000000-0008-0000-1100-0000A4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43941" name="Picture 5" descr="C:\WINDOWS\TEMP\~0003946.gif">
          <a:extLst>
            <a:ext uri="{FF2B5EF4-FFF2-40B4-BE49-F238E27FC236}">
              <a16:creationId xmlns:a16="http://schemas.microsoft.com/office/drawing/2014/main" xmlns="" id="{00000000-0008-0000-1100-0000A5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43942" name="Picture 6" descr="C:\WINDOWS\TEMP\~0003946.gif">
          <a:extLst>
            <a:ext uri="{FF2B5EF4-FFF2-40B4-BE49-F238E27FC236}">
              <a16:creationId xmlns:a16="http://schemas.microsoft.com/office/drawing/2014/main" xmlns="" id="{00000000-0008-0000-1100-0000A6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3943" name="Picture 7" descr="C:\WINDOWS\TEMP\~0003946.gif">
          <a:extLst>
            <a:ext uri="{FF2B5EF4-FFF2-40B4-BE49-F238E27FC236}">
              <a16:creationId xmlns:a16="http://schemas.microsoft.com/office/drawing/2014/main" xmlns="" id="{00000000-0008-0000-1100-0000A7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43944" name="Picture 8" descr="C:\WINDOWS\TEMP\~0003946.gif">
          <a:extLst>
            <a:ext uri="{FF2B5EF4-FFF2-40B4-BE49-F238E27FC236}">
              <a16:creationId xmlns:a16="http://schemas.microsoft.com/office/drawing/2014/main" xmlns="" id="{00000000-0008-0000-1100-0000A8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43945" name="Picture 10" descr="C:\WINDOWS\TEMP\~0003946.gif">
          <a:extLst>
            <a:ext uri="{FF2B5EF4-FFF2-40B4-BE49-F238E27FC236}">
              <a16:creationId xmlns:a16="http://schemas.microsoft.com/office/drawing/2014/main" xmlns="" id="{00000000-0008-0000-1100-0000A9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43946" name="Picture 11" descr="C:\WINDOWS\TEMP\~0003946.gif">
          <a:extLst>
            <a:ext uri="{FF2B5EF4-FFF2-40B4-BE49-F238E27FC236}">
              <a16:creationId xmlns:a16="http://schemas.microsoft.com/office/drawing/2014/main" xmlns="" id="{00000000-0008-0000-1100-0000AA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43947" name="Picture 12" descr="C:\WINDOWS\TEMP\~0003946.gif">
          <a:extLst>
            <a:ext uri="{FF2B5EF4-FFF2-40B4-BE49-F238E27FC236}">
              <a16:creationId xmlns:a16="http://schemas.microsoft.com/office/drawing/2014/main" xmlns="" id="{00000000-0008-0000-1100-0000AB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43948" name="Picture 13" descr="logoMTL">
          <a:extLst>
            <a:ext uri="{FF2B5EF4-FFF2-40B4-BE49-F238E27FC236}">
              <a16:creationId xmlns:a16="http://schemas.microsoft.com/office/drawing/2014/main" xmlns="" id="{00000000-0008-0000-1100-0000ACA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43949" name="Picture 14" descr="logoMTL">
          <a:extLst>
            <a:ext uri="{FF2B5EF4-FFF2-40B4-BE49-F238E27FC236}">
              <a16:creationId xmlns:a16="http://schemas.microsoft.com/office/drawing/2014/main" xmlns="" id="{00000000-0008-0000-1100-0000ADA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43950" name="Picture 15" descr="logoMTL">
          <a:extLst>
            <a:ext uri="{FF2B5EF4-FFF2-40B4-BE49-F238E27FC236}">
              <a16:creationId xmlns:a16="http://schemas.microsoft.com/office/drawing/2014/main" xmlns="" id="{00000000-0008-0000-1100-0000AEA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43951" name="Picture 16" descr="logoMTL">
          <a:extLst>
            <a:ext uri="{FF2B5EF4-FFF2-40B4-BE49-F238E27FC236}">
              <a16:creationId xmlns:a16="http://schemas.microsoft.com/office/drawing/2014/main" xmlns="" id="{00000000-0008-0000-1100-0000AFA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51</xdr:row>
      <xdr:rowOff>0</xdr:rowOff>
    </xdr:from>
    <xdr:to>
      <xdr:col>14</xdr:col>
      <xdr:colOff>800100</xdr:colOff>
      <xdr:row>51</xdr:row>
      <xdr:rowOff>228600</xdr:rowOff>
    </xdr:to>
    <xdr:pic>
      <xdr:nvPicPr>
        <xdr:cNvPr id="43952" name="Picture 9" descr="C:\WINDOWS\TEMP\~0003946.gif">
          <a:extLst>
            <a:ext uri="{FF2B5EF4-FFF2-40B4-BE49-F238E27FC236}">
              <a16:creationId xmlns:a16="http://schemas.microsoft.com/office/drawing/2014/main" xmlns="" id="{00000000-0008-0000-1100-0000B0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6992600" y="1030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44913" name="Picture 1" descr="C:\WINDOWS\TEMP\Symbol.gif">
          <a:extLst>
            <a:ext uri="{FF2B5EF4-FFF2-40B4-BE49-F238E27FC236}">
              <a16:creationId xmlns:a16="http://schemas.microsoft.com/office/drawing/2014/main" xmlns="" id="{00000000-0008-0000-1200-000071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44914" name="Picture 2" descr="C:\WINDOWS\TEMP\Symbol.gif">
          <a:extLst>
            <a:ext uri="{FF2B5EF4-FFF2-40B4-BE49-F238E27FC236}">
              <a16:creationId xmlns:a16="http://schemas.microsoft.com/office/drawing/2014/main" xmlns="" id="{00000000-0008-0000-1200-000072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4915" name="Picture 3" descr="C:\WINDOWS\TEMP\Symbol.gif">
          <a:extLst>
            <a:ext uri="{FF2B5EF4-FFF2-40B4-BE49-F238E27FC236}">
              <a16:creationId xmlns:a16="http://schemas.microsoft.com/office/drawing/2014/main" xmlns="" id="{00000000-0008-0000-1200-000073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44916" name="Picture 4" descr="C:\WINDOWS\TEMP\Symbol.gif">
          <a:extLst>
            <a:ext uri="{FF2B5EF4-FFF2-40B4-BE49-F238E27FC236}">
              <a16:creationId xmlns:a16="http://schemas.microsoft.com/office/drawing/2014/main" xmlns="" id="{00000000-0008-0000-1200-000074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44917" name="Picture 5" descr="C:\WINDOWS\TEMP\~0003946.gif">
          <a:extLst>
            <a:ext uri="{FF2B5EF4-FFF2-40B4-BE49-F238E27FC236}">
              <a16:creationId xmlns:a16="http://schemas.microsoft.com/office/drawing/2014/main" xmlns="" id="{00000000-0008-0000-1200-000075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44918" name="Picture 6" descr="C:\WINDOWS\TEMP\~0003946.gif">
          <a:extLst>
            <a:ext uri="{FF2B5EF4-FFF2-40B4-BE49-F238E27FC236}">
              <a16:creationId xmlns:a16="http://schemas.microsoft.com/office/drawing/2014/main" xmlns="" id="{00000000-0008-0000-1200-000076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4919" name="Picture 7" descr="C:\WINDOWS\TEMP\~0003946.gif">
          <a:extLst>
            <a:ext uri="{FF2B5EF4-FFF2-40B4-BE49-F238E27FC236}">
              <a16:creationId xmlns:a16="http://schemas.microsoft.com/office/drawing/2014/main" xmlns="" id="{00000000-0008-0000-1200-000077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44920" name="Picture 8" descr="C:\WINDOWS\TEMP\~0003946.gif">
          <a:extLst>
            <a:ext uri="{FF2B5EF4-FFF2-40B4-BE49-F238E27FC236}">
              <a16:creationId xmlns:a16="http://schemas.microsoft.com/office/drawing/2014/main" xmlns="" id="{00000000-0008-0000-1200-000078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44921" name="Picture 10" descr="C:\WINDOWS\TEMP\~0003946.gif">
          <a:extLst>
            <a:ext uri="{FF2B5EF4-FFF2-40B4-BE49-F238E27FC236}">
              <a16:creationId xmlns:a16="http://schemas.microsoft.com/office/drawing/2014/main" xmlns="" id="{00000000-0008-0000-1200-000079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44922" name="Picture 11" descr="C:\WINDOWS\TEMP\~0003946.gif">
          <a:extLst>
            <a:ext uri="{FF2B5EF4-FFF2-40B4-BE49-F238E27FC236}">
              <a16:creationId xmlns:a16="http://schemas.microsoft.com/office/drawing/2014/main" xmlns="" id="{00000000-0008-0000-1200-00007A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44923" name="Picture 12" descr="C:\WINDOWS\TEMP\~0003946.gif">
          <a:extLst>
            <a:ext uri="{FF2B5EF4-FFF2-40B4-BE49-F238E27FC236}">
              <a16:creationId xmlns:a16="http://schemas.microsoft.com/office/drawing/2014/main" xmlns="" id="{00000000-0008-0000-1200-00007B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44924" name="Picture 13" descr="logoMTL">
          <a:extLst>
            <a:ext uri="{FF2B5EF4-FFF2-40B4-BE49-F238E27FC236}">
              <a16:creationId xmlns:a16="http://schemas.microsoft.com/office/drawing/2014/main" xmlns="" id="{00000000-0008-0000-1200-00007CA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44925" name="Picture 14" descr="logoMTL">
          <a:extLst>
            <a:ext uri="{FF2B5EF4-FFF2-40B4-BE49-F238E27FC236}">
              <a16:creationId xmlns:a16="http://schemas.microsoft.com/office/drawing/2014/main" xmlns="" id="{00000000-0008-0000-1200-00007DA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44926" name="Picture 15" descr="logoMTL">
          <a:extLst>
            <a:ext uri="{FF2B5EF4-FFF2-40B4-BE49-F238E27FC236}">
              <a16:creationId xmlns:a16="http://schemas.microsoft.com/office/drawing/2014/main" xmlns="" id="{00000000-0008-0000-1200-00007EA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44927" name="Picture 16" descr="logoMTL">
          <a:extLst>
            <a:ext uri="{FF2B5EF4-FFF2-40B4-BE49-F238E27FC236}">
              <a16:creationId xmlns:a16="http://schemas.microsoft.com/office/drawing/2014/main" xmlns="" id="{00000000-0008-0000-1200-00007FA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51</xdr:row>
      <xdr:rowOff>0</xdr:rowOff>
    </xdr:from>
    <xdr:to>
      <xdr:col>14</xdr:col>
      <xdr:colOff>800100</xdr:colOff>
      <xdr:row>51</xdr:row>
      <xdr:rowOff>228600</xdr:rowOff>
    </xdr:to>
    <xdr:pic>
      <xdr:nvPicPr>
        <xdr:cNvPr id="44928" name="Picture 9" descr="C:\WINDOWS\TEMP\~0003946.gif">
          <a:extLst>
            <a:ext uri="{FF2B5EF4-FFF2-40B4-BE49-F238E27FC236}">
              <a16:creationId xmlns:a16="http://schemas.microsoft.com/office/drawing/2014/main" xmlns="" id="{00000000-0008-0000-1200-000080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6992600" y="1030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6609" name="Picture 1" descr="C:\WINDOWS\TEMP\Symbol.gif">
          <a:extLst>
            <a:ext uri="{FF2B5EF4-FFF2-40B4-BE49-F238E27FC236}">
              <a16:creationId xmlns:a16="http://schemas.microsoft.com/office/drawing/2014/main" xmlns="" id="{00000000-0008-0000-0100-0000F16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26610" name="Picture 2" descr="C:\WINDOWS\TEMP\Symbol.gif">
          <a:extLst>
            <a:ext uri="{FF2B5EF4-FFF2-40B4-BE49-F238E27FC236}">
              <a16:creationId xmlns:a16="http://schemas.microsoft.com/office/drawing/2014/main" xmlns="" id="{00000000-0008-0000-0100-0000F26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26611" name="Picture 3" descr="C:\WINDOWS\TEMP\Symbol.gif">
          <a:extLst>
            <a:ext uri="{FF2B5EF4-FFF2-40B4-BE49-F238E27FC236}">
              <a16:creationId xmlns:a16="http://schemas.microsoft.com/office/drawing/2014/main" xmlns="" id="{00000000-0008-0000-0100-0000F36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23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279</xdr:row>
      <xdr:rowOff>161925</xdr:rowOff>
    </xdr:from>
    <xdr:to>
      <xdr:col>1</xdr:col>
      <xdr:colOff>19050</xdr:colOff>
      <xdr:row>280</xdr:row>
      <xdr:rowOff>200025</xdr:rowOff>
    </xdr:to>
    <xdr:pic>
      <xdr:nvPicPr>
        <xdr:cNvPr id="26612" name="Picture 4" descr="C:\WINDOWS\TEMP\Symbol.gif">
          <a:extLst>
            <a:ext uri="{FF2B5EF4-FFF2-40B4-BE49-F238E27FC236}">
              <a16:creationId xmlns:a16="http://schemas.microsoft.com/office/drawing/2014/main" xmlns="" id="{00000000-0008-0000-0100-0000F46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702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279</xdr:row>
      <xdr:rowOff>123825</xdr:rowOff>
    </xdr:from>
    <xdr:to>
      <xdr:col>14</xdr:col>
      <xdr:colOff>1895475</xdr:colOff>
      <xdr:row>280</xdr:row>
      <xdr:rowOff>152400</xdr:rowOff>
    </xdr:to>
    <xdr:pic>
      <xdr:nvPicPr>
        <xdr:cNvPr id="26613" name="Picture 5" descr="C:\WINDOWS\TEMP\~0003946.gif">
          <a:extLst>
            <a:ext uri="{FF2B5EF4-FFF2-40B4-BE49-F238E27FC236}">
              <a16:creationId xmlns:a16="http://schemas.microsoft.com/office/drawing/2014/main" xmlns="" id="{00000000-0008-0000-0100-0000F5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56664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26614" name="Picture 6" descr="C:\WINDOWS\TEMP\~0003946.gif">
          <a:extLst>
            <a:ext uri="{FF2B5EF4-FFF2-40B4-BE49-F238E27FC236}">
              <a16:creationId xmlns:a16="http://schemas.microsoft.com/office/drawing/2014/main" xmlns="" id="{00000000-0008-0000-0100-0000F6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804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26615" name="Picture 7" descr="C:\WINDOWS\TEMP\~0003946.gif">
          <a:extLst>
            <a:ext uri="{FF2B5EF4-FFF2-40B4-BE49-F238E27FC236}">
              <a16:creationId xmlns:a16="http://schemas.microsoft.com/office/drawing/2014/main" xmlns="" id="{00000000-0008-0000-0100-0000F7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26616" name="Picture 8" descr="C:\WINDOWS\TEMP\~0003946.gif">
          <a:extLst>
            <a:ext uri="{FF2B5EF4-FFF2-40B4-BE49-F238E27FC236}">
              <a16:creationId xmlns:a16="http://schemas.microsoft.com/office/drawing/2014/main" xmlns="" id="{00000000-0008-0000-0100-0000F8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26617" name="Picture 9" descr="C:\WINDOWS\TEMP\~0003946.gif">
          <a:extLst>
            <a:ext uri="{FF2B5EF4-FFF2-40B4-BE49-F238E27FC236}">
              <a16:creationId xmlns:a16="http://schemas.microsoft.com/office/drawing/2014/main" xmlns="" id="{00000000-0008-0000-0100-0000F9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26618" name="Picture 10" descr="C:\WINDOWS\TEMP\~0003946.gif">
          <a:extLst>
            <a:ext uri="{FF2B5EF4-FFF2-40B4-BE49-F238E27FC236}">
              <a16:creationId xmlns:a16="http://schemas.microsoft.com/office/drawing/2014/main" xmlns="" id="{00000000-0008-0000-0100-0000FA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26619" name="Picture 11" descr="C:\WINDOWS\TEMP\~0003946.gif">
          <a:extLst>
            <a:ext uri="{FF2B5EF4-FFF2-40B4-BE49-F238E27FC236}">
              <a16:creationId xmlns:a16="http://schemas.microsoft.com/office/drawing/2014/main" xmlns="" id="{00000000-0008-0000-0100-0000FB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56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279</xdr:row>
      <xdr:rowOff>104775</xdr:rowOff>
    </xdr:from>
    <xdr:to>
      <xdr:col>14</xdr:col>
      <xdr:colOff>895350</xdr:colOff>
      <xdr:row>280</xdr:row>
      <xdr:rowOff>133350</xdr:rowOff>
    </xdr:to>
    <xdr:pic>
      <xdr:nvPicPr>
        <xdr:cNvPr id="26620" name="Picture 12" descr="C:\WINDOWS\TEMP\~0003946.gif">
          <a:extLst>
            <a:ext uri="{FF2B5EF4-FFF2-40B4-BE49-F238E27FC236}">
              <a16:creationId xmlns:a16="http://schemas.microsoft.com/office/drawing/2014/main" xmlns="" id="{00000000-0008-0000-0100-0000FC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56645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26621" name="Picture 13" descr="logoMTL">
          <a:extLst>
            <a:ext uri="{FF2B5EF4-FFF2-40B4-BE49-F238E27FC236}">
              <a16:creationId xmlns:a16="http://schemas.microsoft.com/office/drawing/2014/main" xmlns="" id="{00000000-0008-0000-0100-0000FD6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26622" name="Picture 14" descr="logoMTL">
          <a:extLst>
            <a:ext uri="{FF2B5EF4-FFF2-40B4-BE49-F238E27FC236}">
              <a16:creationId xmlns:a16="http://schemas.microsoft.com/office/drawing/2014/main" xmlns="" id="{00000000-0008-0000-0100-0000FE6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26623" name="Picture 15" descr="logoMTL">
          <a:extLst>
            <a:ext uri="{FF2B5EF4-FFF2-40B4-BE49-F238E27FC236}">
              <a16:creationId xmlns:a16="http://schemas.microsoft.com/office/drawing/2014/main" xmlns="" id="{00000000-0008-0000-0100-0000FF6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80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279</xdr:row>
      <xdr:rowOff>0</xdr:rowOff>
    </xdr:from>
    <xdr:to>
      <xdr:col>13</xdr:col>
      <xdr:colOff>1228725</xdr:colOff>
      <xdr:row>280</xdr:row>
      <xdr:rowOff>123825</xdr:rowOff>
    </xdr:to>
    <xdr:pic>
      <xdr:nvPicPr>
        <xdr:cNvPr id="53248" name="Picture 16" descr="logoMTL">
          <a:extLst>
            <a:ext uri="{FF2B5EF4-FFF2-40B4-BE49-F238E27FC236}">
              <a16:creationId xmlns:a16="http://schemas.microsoft.com/office/drawing/2014/main" xmlns="" id="{00000000-0008-0000-0100-000000D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6540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46721" name="Picture 1" descr="C:\WINDOWS\TEMP\Symbol.gif">
          <a:extLst>
            <a:ext uri="{FF2B5EF4-FFF2-40B4-BE49-F238E27FC236}">
              <a16:creationId xmlns:a16="http://schemas.microsoft.com/office/drawing/2014/main" xmlns="" id="{00000000-0008-0000-1300-000081B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46722" name="Picture 2" descr="C:\WINDOWS\TEMP\Symbol.gif">
          <a:extLst>
            <a:ext uri="{FF2B5EF4-FFF2-40B4-BE49-F238E27FC236}">
              <a16:creationId xmlns:a16="http://schemas.microsoft.com/office/drawing/2014/main" xmlns="" id="{00000000-0008-0000-1300-000082B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6723" name="Picture 3" descr="C:\WINDOWS\TEMP\Symbol.gif">
          <a:extLst>
            <a:ext uri="{FF2B5EF4-FFF2-40B4-BE49-F238E27FC236}">
              <a16:creationId xmlns:a16="http://schemas.microsoft.com/office/drawing/2014/main" xmlns="" id="{00000000-0008-0000-1300-000083B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46724" name="Picture 4" descr="C:\WINDOWS\TEMP\Symbol.gif">
          <a:extLst>
            <a:ext uri="{FF2B5EF4-FFF2-40B4-BE49-F238E27FC236}">
              <a16:creationId xmlns:a16="http://schemas.microsoft.com/office/drawing/2014/main" xmlns="" id="{00000000-0008-0000-1300-000084B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46725" name="Picture 5" descr="C:\WINDOWS\TEMP\~0003946.gif">
          <a:extLst>
            <a:ext uri="{FF2B5EF4-FFF2-40B4-BE49-F238E27FC236}">
              <a16:creationId xmlns:a16="http://schemas.microsoft.com/office/drawing/2014/main" xmlns="" id="{00000000-0008-0000-1300-000085B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46726" name="Picture 6" descr="C:\WINDOWS\TEMP\~0003946.gif">
          <a:extLst>
            <a:ext uri="{FF2B5EF4-FFF2-40B4-BE49-F238E27FC236}">
              <a16:creationId xmlns:a16="http://schemas.microsoft.com/office/drawing/2014/main" xmlns="" id="{00000000-0008-0000-1300-000086B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6727" name="Picture 7" descr="C:\WINDOWS\TEMP\~0003946.gif">
          <a:extLst>
            <a:ext uri="{FF2B5EF4-FFF2-40B4-BE49-F238E27FC236}">
              <a16:creationId xmlns:a16="http://schemas.microsoft.com/office/drawing/2014/main" xmlns="" id="{00000000-0008-0000-1300-000087B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46728" name="Picture 8" descr="C:\WINDOWS\TEMP\~0003946.gif">
          <a:extLst>
            <a:ext uri="{FF2B5EF4-FFF2-40B4-BE49-F238E27FC236}">
              <a16:creationId xmlns:a16="http://schemas.microsoft.com/office/drawing/2014/main" xmlns="" id="{00000000-0008-0000-1300-000088B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46729" name="Picture 10" descr="C:\WINDOWS\TEMP\~0003946.gif">
          <a:extLst>
            <a:ext uri="{FF2B5EF4-FFF2-40B4-BE49-F238E27FC236}">
              <a16:creationId xmlns:a16="http://schemas.microsoft.com/office/drawing/2014/main" xmlns="" id="{00000000-0008-0000-1300-000089B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46730" name="Picture 11" descr="C:\WINDOWS\TEMP\~0003946.gif">
          <a:extLst>
            <a:ext uri="{FF2B5EF4-FFF2-40B4-BE49-F238E27FC236}">
              <a16:creationId xmlns:a16="http://schemas.microsoft.com/office/drawing/2014/main" xmlns="" id="{00000000-0008-0000-1300-00008AB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46731" name="Picture 12" descr="C:\WINDOWS\TEMP\~0003946.gif">
          <a:extLst>
            <a:ext uri="{FF2B5EF4-FFF2-40B4-BE49-F238E27FC236}">
              <a16:creationId xmlns:a16="http://schemas.microsoft.com/office/drawing/2014/main" xmlns="" id="{00000000-0008-0000-1300-00008BB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46732" name="Picture 13" descr="logoMTL">
          <a:extLst>
            <a:ext uri="{FF2B5EF4-FFF2-40B4-BE49-F238E27FC236}">
              <a16:creationId xmlns:a16="http://schemas.microsoft.com/office/drawing/2014/main" xmlns="" id="{00000000-0008-0000-1300-00008CB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46733" name="Picture 14" descr="logoMTL">
          <a:extLst>
            <a:ext uri="{FF2B5EF4-FFF2-40B4-BE49-F238E27FC236}">
              <a16:creationId xmlns:a16="http://schemas.microsoft.com/office/drawing/2014/main" xmlns="" id="{00000000-0008-0000-1300-00008DB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46734" name="Picture 15" descr="logoMTL">
          <a:extLst>
            <a:ext uri="{FF2B5EF4-FFF2-40B4-BE49-F238E27FC236}">
              <a16:creationId xmlns:a16="http://schemas.microsoft.com/office/drawing/2014/main" xmlns="" id="{00000000-0008-0000-1300-00008EB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46735" name="Picture 16" descr="logoMTL">
          <a:extLst>
            <a:ext uri="{FF2B5EF4-FFF2-40B4-BE49-F238E27FC236}">
              <a16:creationId xmlns:a16="http://schemas.microsoft.com/office/drawing/2014/main" xmlns="" id="{00000000-0008-0000-1300-00008FB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51</xdr:row>
      <xdr:rowOff>0</xdr:rowOff>
    </xdr:from>
    <xdr:to>
      <xdr:col>14</xdr:col>
      <xdr:colOff>800100</xdr:colOff>
      <xdr:row>51</xdr:row>
      <xdr:rowOff>228600</xdr:rowOff>
    </xdr:to>
    <xdr:pic>
      <xdr:nvPicPr>
        <xdr:cNvPr id="46736" name="Picture 9" descr="C:\WINDOWS\TEMP\~0003946.gif">
          <a:extLst>
            <a:ext uri="{FF2B5EF4-FFF2-40B4-BE49-F238E27FC236}">
              <a16:creationId xmlns:a16="http://schemas.microsoft.com/office/drawing/2014/main" xmlns="" id="{00000000-0008-0000-1300-000090B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6992600" y="1030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48609" name="Picture 1" descr="C:\WINDOWS\TEMP\Symbol.gif">
          <a:extLst>
            <a:ext uri="{FF2B5EF4-FFF2-40B4-BE49-F238E27FC236}">
              <a16:creationId xmlns:a16="http://schemas.microsoft.com/office/drawing/2014/main" xmlns="" id="{00000000-0008-0000-1400-0000E1B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48610" name="Picture 2" descr="C:\WINDOWS\TEMP\Symbol.gif">
          <a:extLst>
            <a:ext uri="{FF2B5EF4-FFF2-40B4-BE49-F238E27FC236}">
              <a16:creationId xmlns:a16="http://schemas.microsoft.com/office/drawing/2014/main" xmlns="" id="{00000000-0008-0000-1400-0000E2B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8611" name="Picture 3" descr="C:\WINDOWS\TEMP\Symbol.gif">
          <a:extLst>
            <a:ext uri="{FF2B5EF4-FFF2-40B4-BE49-F238E27FC236}">
              <a16:creationId xmlns:a16="http://schemas.microsoft.com/office/drawing/2014/main" xmlns="" id="{00000000-0008-0000-1400-0000E3B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48612" name="Picture 4" descr="C:\WINDOWS\TEMP\Symbol.gif">
          <a:extLst>
            <a:ext uri="{FF2B5EF4-FFF2-40B4-BE49-F238E27FC236}">
              <a16:creationId xmlns:a16="http://schemas.microsoft.com/office/drawing/2014/main" xmlns="" id="{00000000-0008-0000-1400-0000E4B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48613" name="Picture 5" descr="C:\WINDOWS\TEMP\~0003946.gif">
          <a:extLst>
            <a:ext uri="{FF2B5EF4-FFF2-40B4-BE49-F238E27FC236}">
              <a16:creationId xmlns:a16="http://schemas.microsoft.com/office/drawing/2014/main" xmlns="" id="{00000000-0008-0000-1400-0000E5B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48614" name="Picture 6" descr="C:\WINDOWS\TEMP\~0003946.gif">
          <a:extLst>
            <a:ext uri="{FF2B5EF4-FFF2-40B4-BE49-F238E27FC236}">
              <a16:creationId xmlns:a16="http://schemas.microsoft.com/office/drawing/2014/main" xmlns="" id="{00000000-0008-0000-1400-0000E6B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8615" name="Picture 7" descr="C:\WINDOWS\TEMP\~0003946.gif">
          <a:extLst>
            <a:ext uri="{FF2B5EF4-FFF2-40B4-BE49-F238E27FC236}">
              <a16:creationId xmlns:a16="http://schemas.microsoft.com/office/drawing/2014/main" xmlns="" id="{00000000-0008-0000-1400-0000E7B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48616" name="Picture 8" descr="C:\WINDOWS\TEMP\~0003946.gif">
          <a:extLst>
            <a:ext uri="{FF2B5EF4-FFF2-40B4-BE49-F238E27FC236}">
              <a16:creationId xmlns:a16="http://schemas.microsoft.com/office/drawing/2014/main" xmlns="" id="{00000000-0008-0000-1400-0000E8B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48617" name="Picture 10" descr="C:\WINDOWS\TEMP\~0003946.gif">
          <a:extLst>
            <a:ext uri="{FF2B5EF4-FFF2-40B4-BE49-F238E27FC236}">
              <a16:creationId xmlns:a16="http://schemas.microsoft.com/office/drawing/2014/main" xmlns="" id="{00000000-0008-0000-1400-0000E9B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48618" name="Picture 11" descr="C:\WINDOWS\TEMP\~0003946.gif">
          <a:extLst>
            <a:ext uri="{FF2B5EF4-FFF2-40B4-BE49-F238E27FC236}">
              <a16:creationId xmlns:a16="http://schemas.microsoft.com/office/drawing/2014/main" xmlns="" id="{00000000-0008-0000-1400-0000EAB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48619" name="Picture 12" descr="C:\WINDOWS\TEMP\~0003946.gif">
          <a:extLst>
            <a:ext uri="{FF2B5EF4-FFF2-40B4-BE49-F238E27FC236}">
              <a16:creationId xmlns:a16="http://schemas.microsoft.com/office/drawing/2014/main" xmlns="" id="{00000000-0008-0000-1400-0000EBB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48620" name="Picture 13" descr="logoMTL">
          <a:extLst>
            <a:ext uri="{FF2B5EF4-FFF2-40B4-BE49-F238E27FC236}">
              <a16:creationId xmlns:a16="http://schemas.microsoft.com/office/drawing/2014/main" xmlns="" id="{00000000-0008-0000-1400-0000ECB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48621" name="Picture 14" descr="logoMTL">
          <a:extLst>
            <a:ext uri="{FF2B5EF4-FFF2-40B4-BE49-F238E27FC236}">
              <a16:creationId xmlns:a16="http://schemas.microsoft.com/office/drawing/2014/main" xmlns="" id="{00000000-0008-0000-1400-0000EDB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48622" name="Picture 15" descr="logoMTL">
          <a:extLst>
            <a:ext uri="{FF2B5EF4-FFF2-40B4-BE49-F238E27FC236}">
              <a16:creationId xmlns:a16="http://schemas.microsoft.com/office/drawing/2014/main" xmlns="" id="{00000000-0008-0000-1400-0000EEB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48623" name="Picture 16" descr="logoMTL">
          <a:extLst>
            <a:ext uri="{FF2B5EF4-FFF2-40B4-BE49-F238E27FC236}">
              <a16:creationId xmlns:a16="http://schemas.microsoft.com/office/drawing/2014/main" xmlns="" id="{00000000-0008-0000-1400-0000EFB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51</xdr:row>
      <xdr:rowOff>0</xdr:rowOff>
    </xdr:from>
    <xdr:to>
      <xdr:col>14</xdr:col>
      <xdr:colOff>800100</xdr:colOff>
      <xdr:row>51</xdr:row>
      <xdr:rowOff>228600</xdr:rowOff>
    </xdr:to>
    <xdr:pic>
      <xdr:nvPicPr>
        <xdr:cNvPr id="48624" name="Picture 9" descr="C:\WINDOWS\TEMP\~0003946.gif">
          <a:extLst>
            <a:ext uri="{FF2B5EF4-FFF2-40B4-BE49-F238E27FC236}">
              <a16:creationId xmlns:a16="http://schemas.microsoft.com/office/drawing/2014/main" xmlns="" id="{00000000-0008-0000-1400-0000F0B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6992600" y="1030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50417" name="Picture 1" descr="C:\WINDOWS\TEMP\Symbol.gif">
          <a:extLst>
            <a:ext uri="{FF2B5EF4-FFF2-40B4-BE49-F238E27FC236}">
              <a16:creationId xmlns:a16="http://schemas.microsoft.com/office/drawing/2014/main" xmlns="" id="{00000000-0008-0000-1500-0000F1C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50418" name="Picture 2" descr="C:\WINDOWS\TEMP\Symbol.gif">
          <a:extLst>
            <a:ext uri="{FF2B5EF4-FFF2-40B4-BE49-F238E27FC236}">
              <a16:creationId xmlns:a16="http://schemas.microsoft.com/office/drawing/2014/main" xmlns="" id="{00000000-0008-0000-1500-0000F2C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50419" name="Picture 3" descr="C:\WINDOWS\TEMP\Symbol.gif">
          <a:extLst>
            <a:ext uri="{FF2B5EF4-FFF2-40B4-BE49-F238E27FC236}">
              <a16:creationId xmlns:a16="http://schemas.microsoft.com/office/drawing/2014/main" xmlns="" id="{00000000-0008-0000-1500-0000F3C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0420" name="Picture 4" descr="C:\WINDOWS\TEMP\Symbol.gif">
          <a:extLst>
            <a:ext uri="{FF2B5EF4-FFF2-40B4-BE49-F238E27FC236}">
              <a16:creationId xmlns:a16="http://schemas.microsoft.com/office/drawing/2014/main" xmlns="" id="{00000000-0008-0000-1500-0000F4C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50421" name="Picture 5" descr="C:\WINDOWS\TEMP\~0003946.gif">
          <a:extLst>
            <a:ext uri="{FF2B5EF4-FFF2-40B4-BE49-F238E27FC236}">
              <a16:creationId xmlns:a16="http://schemas.microsoft.com/office/drawing/2014/main" xmlns="" id="{00000000-0008-0000-1500-0000F5C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50422" name="Picture 6" descr="C:\WINDOWS\TEMP\~0003946.gif">
          <a:extLst>
            <a:ext uri="{FF2B5EF4-FFF2-40B4-BE49-F238E27FC236}">
              <a16:creationId xmlns:a16="http://schemas.microsoft.com/office/drawing/2014/main" xmlns="" id="{00000000-0008-0000-1500-0000F6C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50423" name="Picture 7" descr="C:\WINDOWS\TEMP\~0003946.gif">
          <a:extLst>
            <a:ext uri="{FF2B5EF4-FFF2-40B4-BE49-F238E27FC236}">
              <a16:creationId xmlns:a16="http://schemas.microsoft.com/office/drawing/2014/main" xmlns="" id="{00000000-0008-0000-1500-0000F7C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50424" name="Picture 8" descr="C:\WINDOWS\TEMP\~0003946.gif">
          <a:extLst>
            <a:ext uri="{FF2B5EF4-FFF2-40B4-BE49-F238E27FC236}">
              <a16:creationId xmlns:a16="http://schemas.microsoft.com/office/drawing/2014/main" xmlns="" id="{00000000-0008-0000-1500-0000F8C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50425" name="Picture 9" descr="C:\WINDOWS\TEMP\~0003946.gif">
          <a:extLst>
            <a:ext uri="{FF2B5EF4-FFF2-40B4-BE49-F238E27FC236}">
              <a16:creationId xmlns:a16="http://schemas.microsoft.com/office/drawing/2014/main" xmlns="" id="{00000000-0008-0000-1500-0000F9C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50426" name="Picture 10" descr="C:\WINDOWS\TEMP\~0003946.gif">
          <a:extLst>
            <a:ext uri="{FF2B5EF4-FFF2-40B4-BE49-F238E27FC236}">
              <a16:creationId xmlns:a16="http://schemas.microsoft.com/office/drawing/2014/main" xmlns="" id="{00000000-0008-0000-1500-0000FAC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50427" name="Picture 11" descr="C:\WINDOWS\TEMP\~0003946.gif">
          <a:extLst>
            <a:ext uri="{FF2B5EF4-FFF2-40B4-BE49-F238E27FC236}">
              <a16:creationId xmlns:a16="http://schemas.microsoft.com/office/drawing/2014/main" xmlns="" id="{00000000-0008-0000-1500-0000FBC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50428" name="Picture 12" descr="C:\WINDOWS\TEMP\~0003946.gif">
          <a:extLst>
            <a:ext uri="{FF2B5EF4-FFF2-40B4-BE49-F238E27FC236}">
              <a16:creationId xmlns:a16="http://schemas.microsoft.com/office/drawing/2014/main" xmlns="" id="{00000000-0008-0000-1500-0000FCC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50429" name="Picture 13" descr="logoMTL">
          <a:extLst>
            <a:ext uri="{FF2B5EF4-FFF2-40B4-BE49-F238E27FC236}">
              <a16:creationId xmlns:a16="http://schemas.microsoft.com/office/drawing/2014/main" xmlns="" id="{00000000-0008-0000-1500-0000FDC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50430" name="Picture 14" descr="logoMTL">
          <a:extLst>
            <a:ext uri="{FF2B5EF4-FFF2-40B4-BE49-F238E27FC236}">
              <a16:creationId xmlns:a16="http://schemas.microsoft.com/office/drawing/2014/main" xmlns="" id="{00000000-0008-0000-1500-0000FEC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50431" name="Picture 15" descr="logoMTL">
          <a:extLst>
            <a:ext uri="{FF2B5EF4-FFF2-40B4-BE49-F238E27FC236}">
              <a16:creationId xmlns:a16="http://schemas.microsoft.com/office/drawing/2014/main" xmlns="" id="{00000000-0008-0000-1500-0000FFC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50432" name="Picture 16" descr="logoMTL">
          <a:extLst>
            <a:ext uri="{FF2B5EF4-FFF2-40B4-BE49-F238E27FC236}">
              <a16:creationId xmlns:a16="http://schemas.microsoft.com/office/drawing/2014/main" xmlns="" id="{00000000-0008-0000-1500-000000C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41953" name="Picture 1" descr="C:\WINDOWS\TEMP\Symbol.gif">
          <a:extLst>
            <a:ext uri="{FF2B5EF4-FFF2-40B4-BE49-F238E27FC236}">
              <a16:creationId xmlns:a16="http://schemas.microsoft.com/office/drawing/2014/main" xmlns="" id="{00000000-0008-0000-1600-0000E1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41954" name="Picture 2" descr="C:\WINDOWS\TEMP\Symbol.gif">
          <a:extLst>
            <a:ext uri="{FF2B5EF4-FFF2-40B4-BE49-F238E27FC236}">
              <a16:creationId xmlns:a16="http://schemas.microsoft.com/office/drawing/2014/main" xmlns="" id="{00000000-0008-0000-1600-0000E2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1955" name="Picture 3" descr="C:\WINDOWS\TEMP\Symbol.gif">
          <a:extLst>
            <a:ext uri="{FF2B5EF4-FFF2-40B4-BE49-F238E27FC236}">
              <a16:creationId xmlns:a16="http://schemas.microsoft.com/office/drawing/2014/main" xmlns="" id="{00000000-0008-0000-1600-0000E3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41956" name="Picture 4" descr="C:\WINDOWS\TEMP\Symbol.gif">
          <a:extLst>
            <a:ext uri="{FF2B5EF4-FFF2-40B4-BE49-F238E27FC236}">
              <a16:creationId xmlns:a16="http://schemas.microsoft.com/office/drawing/2014/main" xmlns="" id="{00000000-0008-0000-1600-0000E4A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41957" name="Picture 5" descr="C:\WINDOWS\TEMP\~0003946.gif">
          <a:extLst>
            <a:ext uri="{FF2B5EF4-FFF2-40B4-BE49-F238E27FC236}">
              <a16:creationId xmlns:a16="http://schemas.microsoft.com/office/drawing/2014/main" xmlns="" id="{00000000-0008-0000-1600-0000E5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41958" name="Picture 6" descr="C:\WINDOWS\TEMP\~0003946.gif">
          <a:extLst>
            <a:ext uri="{FF2B5EF4-FFF2-40B4-BE49-F238E27FC236}">
              <a16:creationId xmlns:a16="http://schemas.microsoft.com/office/drawing/2014/main" xmlns="" id="{00000000-0008-0000-1600-0000E6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1959" name="Picture 7" descr="C:\WINDOWS\TEMP\~0003946.gif">
          <a:extLst>
            <a:ext uri="{FF2B5EF4-FFF2-40B4-BE49-F238E27FC236}">
              <a16:creationId xmlns:a16="http://schemas.microsoft.com/office/drawing/2014/main" xmlns="" id="{00000000-0008-0000-1600-0000E7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41960" name="Picture 8" descr="C:\WINDOWS\TEMP\~0003946.gif">
          <a:extLst>
            <a:ext uri="{FF2B5EF4-FFF2-40B4-BE49-F238E27FC236}">
              <a16:creationId xmlns:a16="http://schemas.microsoft.com/office/drawing/2014/main" xmlns="" id="{00000000-0008-0000-1600-0000E8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41961" name="Picture 9" descr="C:\WINDOWS\TEMP\~0003946.gif">
          <a:extLst>
            <a:ext uri="{FF2B5EF4-FFF2-40B4-BE49-F238E27FC236}">
              <a16:creationId xmlns:a16="http://schemas.microsoft.com/office/drawing/2014/main" xmlns="" id="{00000000-0008-0000-1600-0000E9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41962" name="Picture 10" descr="C:\WINDOWS\TEMP\~0003946.gif">
          <a:extLst>
            <a:ext uri="{FF2B5EF4-FFF2-40B4-BE49-F238E27FC236}">
              <a16:creationId xmlns:a16="http://schemas.microsoft.com/office/drawing/2014/main" xmlns="" id="{00000000-0008-0000-1600-0000EA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41963" name="Picture 11" descr="C:\WINDOWS\TEMP\~0003946.gif">
          <a:extLst>
            <a:ext uri="{FF2B5EF4-FFF2-40B4-BE49-F238E27FC236}">
              <a16:creationId xmlns:a16="http://schemas.microsoft.com/office/drawing/2014/main" xmlns="" id="{00000000-0008-0000-1600-0000EB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41964" name="Picture 12" descr="C:\WINDOWS\TEMP\~0003946.gif">
          <a:extLst>
            <a:ext uri="{FF2B5EF4-FFF2-40B4-BE49-F238E27FC236}">
              <a16:creationId xmlns:a16="http://schemas.microsoft.com/office/drawing/2014/main" xmlns="" id="{00000000-0008-0000-1600-0000EC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41965" name="Picture 13" descr="logoMTL">
          <a:extLst>
            <a:ext uri="{FF2B5EF4-FFF2-40B4-BE49-F238E27FC236}">
              <a16:creationId xmlns:a16="http://schemas.microsoft.com/office/drawing/2014/main" xmlns="" id="{00000000-0008-0000-1600-0000EDA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41966" name="Picture 14" descr="logoMTL">
          <a:extLst>
            <a:ext uri="{FF2B5EF4-FFF2-40B4-BE49-F238E27FC236}">
              <a16:creationId xmlns:a16="http://schemas.microsoft.com/office/drawing/2014/main" xmlns="" id="{00000000-0008-0000-1600-0000EEA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41967" name="Picture 15" descr="logoMTL">
          <a:extLst>
            <a:ext uri="{FF2B5EF4-FFF2-40B4-BE49-F238E27FC236}">
              <a16:creationId xmlns:a16="http://schemas.microsoft.com/office/drawing/2014/main" xmlns="" id="{00000000-0008-0000-1600-0000EFA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41968" name="Picture 16" descr="logoMTL">
          <a:extLst>
            <a:ext uri="{FF2B5EF4-FFF2-40B4-BE49-F238E27FC236}">
              <a16:creationId xmlns:a16="http://schemas.microsoft.com/office/drawing/2014/main" xmlns="" id="{00000000-0008-0000-1600-0000F0A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45841" name="Picture 1" descr="C:\WINDOWS\TEMP\Symbol.gif">
          <a:extLst>
            <a:ext uri="{FF2B5EF4-FFF2-40B4-BE49-F238E27FC236}">
              <a16:creationId xmlns:a16="http://schemas.microsoft.com/office/drawing/2014/main" xmlns="" id="{00000000-0008-0000-1700-000011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45842" name="Picture 2" descr="C:\WINDOWS\TEMP\Symbol.gif">
          <a:extLst>
            <a:ext uri="{FF2B5EF4-FFF2-40B4-BE49-F238E27FC236}">
              <a16:creationId xmlns:a16="http://schemas.microsoft.com/office/drawing/2014/main" xmlns="" id="{00000000-0008-0000-1700-000012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5843" name="Picture 3" descr="C:\WINDOWS\TEMP\Symbol.gif">
          <a:extLst>
            <a:ext uri="{FF2B5EF4-FFF2-40B4-BE49-F238E27FC236}">
              <a16:creationId xmlns:a16="http://schemas.microsoft.com/office/drawing/2014/main" xmlns="" id="{00000000-0008-0000-1700-000013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45844" name="Picture 4" descr="C:\WINDOWS\TEMP\Symbol.gif">
          <a:extLst>
            <a:ext uri="{FF2B5EF4-FFF2-40B4-BE49-F238E27FC236}">
              <a16:creationId xmlns:a16="http://schemas.microsoft.com/office/drawing/2014/main" xmlns="" id="{00000000-0008-0000-1700-000014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45845" name="Picture 5" descr="C:\WINDOWS\TEMP\~0003946.gif">
          <a:extLst>
            <a:ext uri="{FF2B5EF4-FFF2-40B4-BE49-F238E27FC236}">
              <a16:creationId xmlns:a16="http://schemas.microsoft.com/office/drawing/2014/main" xmlns="" id="{00000000-0008-0000-1700-000015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45846" name="Picture 6" descr="C:\WINDOWS\TEMP\~0003946.gif">
          <a:extLst>
            <a:ext uri="{FF2B5EF4-FFF2-40B4-BE49-F238E27FC236}">
              <a16:creationId xmlns:a16="http://schemas.microsoft.com/office/drawing/2014/main" xmlns="" id="{00000000-0008-0000-1700-000016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5847" name="Picture 7" descr="C:\WINDOWS\TEMP\~0003946.gif">
          <a:extLst>
            <a:ext uri="{FF2B5EF4-FFF2-40B4-BE49-F238E27FC236}">
              <a16:creationId xmlns:a16="http://schemas.microsoft.com/office/drawing/2014/main" xmlns="" id="{00000000-0008-0000-1700-000017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45848" name="Picture 8" descr="C:\WINDOWS\TEMP\~0003946.gif">
          <a:extLst>
            <a:ext uri="{FF2B5EF4-FFF2-40B4-BE49-F238E27FC236}">
              <a16:creationId xmlns:a16="http://schemas.microsoft.com/office/drawing/2014/main" xmlns="" id="{00000000-0008-0000-1700-000018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45849" name="Picture 9" descr="C:\WINDOWS\TEMP\~0003946.gif">
          <a:extLst>
            <a:ext uri="{FF2B5EF4-FFF2-40B4-BE49-F238E27FC236}">
              <a16:creationId xmlns:a16="http://schemas.microsoft.com/office/drawing/2014/main" xmlns="" id="{00000000-0008-0000-1700-000019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45850" name="Picture 10" descr="C:\WINDOWS\TEMP\~0003946.gif">
          <a:extLst>
            <a:ext uri="{FF2B5EF4-FFF2-40B4-BE49-F238E27FC236}">
              <a16:creationId xmlns:a16="http://schemas.microsoft.com/office/drawing/2014/main" xmlns="" id="{00000000-0008-0000-1700-00001A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45851" name="Picture 11" descr="C:\WINDOWS\TEMP\~0003946.gif">
          <a:extLst>
            <a:ext uri="{FF2B5EF4-FFF2-40B4-BE49-F238E27FC236}">
              <a16:creationId xmlns:a16="http://schemas.microsoft.com/office/drawing/2014/main" xmlns="" id="{00000000-0008-0000-1700-00001B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45852" name="Picture 12" descr="C:\WINDOWS\TEMP\~0003946.gif">
          <a:extLst>
            <a:ext uri="{FF2B5EF4-FFF2-40B4-BE49-F238E27FC236}">
              <a16:creationId xmlns:a16="http://schemas.microsoft.com/office/drawing/2014/main" xmlns="" id="{00000000-0008-0000-1700-00001C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45853" name="Picture 13" descr="logoMTL">
          <a:extLst>
            <a:ext uri="{FF2B5EF4-FFF2-40B4-BE49-F238E27FC236}">
              <a16:creationId xmlns:a16="http://schemas.microsoft.com/office/drawing/2014/main" xmlns="" id="{00000000-0008-0000-1700-00001DB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45854" name="Picture 14" descr="logoMTL">
          <a:extLst>
            <a:ext uri="{FF2B5EF4-FFF2-40B4-BE49-F238E27FC236}">
              <a16:creationId xmlns:a16="http://schemas.microsoft.com/office/drawing/2014/main" xmlns="" id="{00000000-0008-0000-1700-00001EB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45855" name="Picture 15" descr="logoMTL">
          <a:extLst>
            <a:ext uri="{FF2B5EF4-FFF2-40B4-BE49-F238E27FC236}">
              <a16:creationId xmlns:a16="http://schemas.microsoft.com/office/drawing/2014/main" xmlns="" id="{00000000-0008-0000-1700-00001FB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45856" name="Picture 16" descr="logoMTL">
          <a:extLst>
            <a:ext uri="{FF2B5EF4-FFF2-40B4-BE49-F238E27FC236}">
              <a16:creationId xmlns:a16="http://schemas.microsoft.com/office/drawing/2014/main" xmlns="" id="{00000000-0008-0000-1700-000020B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47729" name="Picture 1" descr="C:\WINDOWS\TEMP\Symbol.gif">
          <a:extLst>
            <a:ext uri="{FF2B5EF4-FFF2-40B4-BE49-F238E27FC236}">
              <a16:creationId xmlns:a16="http://schemas.microsoft.com/office/drawing/2014/main" xmlns="" id="{00000000-0008-0000-1800-000071B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47730" name="Picture 2" descr="C:\WINDOWS\TEMP\Symbol.gif">
          <a:extLst>
            <a:ext uri="{FF2B5EF4-FFF2-40B4-BE49-F238E27FC236}">
              <a16:creationId xmlns:a16="http://schemas.microsoft.com/office/drawing/2014/main" xmlns="" id="{00000000-0008-0000-1800-000072B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7731" name="Picture 3" descr="C:\WINDOWS\TEMP\Symbol.gif">
          <a:extLst>
            <a:ext uri="{FF2B5EF4-FFF2-40B4-BE49-F238E27FC236}">
              <a16:creationId xmlns:a16="http://schemas.microsoft.com/office/drawing/2014/main" xmlns="" id="{00000000-0008-0000-1800-000073B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47732" name="Picture 4" descr="C:\WINDOWS\TEMP\Symbol.gif">
          <a:extLst>
            <a:ext uri="{FF2B5EF4-FFF2-40B4-BE49-F238E27FC236}">
              <a16:creationId xmlns:a16="http://schemas.microsoft.com/office/drawing/2014/main" xmlns="" id="{00000000-0008-0000-1800-000074B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47733" name="Picture 5" descr="C:\WINDOWS\TEMP\~0003946.gif">
          <a:extLst>
            <a:ext uri="{FF2B5EF4-FFF2-40B4-BE49-F238E27FC236}">
              <a16:creationId xmlns:a16="http://schemas.microsoft.com/office/drawing/2014/main" xmlns="" id="{00000000-0008-0000-1800-000075B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47734" name="Picture 6" descr="C:\WINDOWS\TEMP\~0003946.gif">
          <a:extLst>
            <a:ext uri="{FF2B5EF4-FFF2-40B4-BE49-F238E27FC236}">
              <a16:creationId xmlns:a16="http://schemas.microsoft.com/office/drawing/2014/main" xmlns="" id="{00000000-0008-0000-1800-000076B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7735" name="Picture 7" descr="C:\WINDOWS\TEMP\~0003946.gif">
          <a:extLst>
            <a:ext uri="{FF2B5EF4-FFF2-40B4-BE49-F238E27FC236}">
              <a16:creationId xmlns:a16="http://schemas.microsoft.com/office/drawing/2014/main" xmlns="" id="{00000000-0008-0000-1800-000077B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47736" name="Picture 8" descr="C:\WINDOWS\TEMP\~0003946.gif">
          <a:extLst>
            <a:ext uri="{FF2B5EF4-FFF2-40B4-BE49-F238E27FC236}">
              <a16:creationId xmlns:a16="http://schemas.microsoft.com/office/drawing/2014/main" xmlns="" id="{00000000-0008-0000-1800-000078B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47737" name="Picture 9" descr="C:\WINDOWS\TEMP\~0003946.gif">
          <a:extLst>
            <a:ext uri="{FF2B5EF4-FFF2-40B4-BE49-F238E27FC236}">
              <a16:creationId xmlns:a16="http://schemas.microsoft.com/office/drawing/2014/main" xmlns="" id="{00000000-0008-0000-1800-000079B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47738" name="Picture 10" descr="C:\WINDOWS\TEMP\~0003946.gif">
          <a:extLst>
            <a:ext uri="{FF2B5EF4-FFF2-40B4-BE49-F238E27FC236}">
              <a16:creationId xmlns:a16="http://schemas.microsoft.com/office/drawing/2014/main" xmlns="" id="{00000000-0008-0000-1800-00007AB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47739" name="Picture 11" descr="C:\WINDOWS\TEMP\~0003946.gif">
          <a:extLst>
            <a:ext uri="{FF2B5EF4-FFF2-40B4-BE49-F238E27FC236}">
              <a16:creationId xmlns:a16="http://schemas.microsoft.com/office/drawing/2014/main" xmlns="" id="{00000000-0008-0000-1800-00007BB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47740" name="Picture 12" descr="C:\WINDOWS\TEMP\~0003946.gif">
          <a:extLst>
            <a:ext uri="{FF2B5EF4-FFF2-40B4-BE49-F238E27FC236}">
              <a16:creationId xmlns:a16="http://schemas.microsoft.com/office/drawing/2014/main" xmlns="" id="{00000000-0008-0000-1800-00007CB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47741" name="Picture 13" descr="logoMTL">
          <a:extLst>
            <a:ext uri="{FF2B5EF4-FFF2-40B4-BE49-F238E27FC236}">
              <a16:creationId xmlns:a16="http://schemas.microsoft.com/office/drawing/2014/main" xmlns="" id="{00000000-0008-0000-1800-00007DB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47742" name="Picture 14" descr="logoMTL">
          <a:extLst>
            <a:ext uri="{FF2B5EF4-FFF2-40B4-BE49-F238E27FC236}">
              <a16:creationId xmlns:a16="http://schemas.microsoft.com/office/drawing/2014/main" xmlns="" id="{00000000-0008-0000-1800-00007EB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47743" name="Picture 15" descr="logoMTL">
          <a:extLst>
            <a:ext uri="{FF2B5EF4-FFF2-40B4-BE49-F238E27FC236}">
              <a16:creationId xmlns:a16="http://schemas.microsoft.com/office/drawing/2014/main" xmlns="" id="{00000000-0008-0000-1800-00007FB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47744" name="Picture 16" descr="logoMTL">
          <a:extLst>
            <a:ext uri="{FF2B5EF4-FFF2-40B4-BE49-F238E27FC236}">
              <a16:creationId xmlns:a16="http://schemas.microsoft.com/office/drawing/2014/main" xmlns="" id="{00000000-0008-0000-1800-000080B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49601" name="Picture 1" descr="C:\WINDOWS\TEMP\Symbol.gif">
          <a:extLst>
            <a:ext uri="{FF2B5EF4-FFF2-40B4-BE49-F238E27FC236}">
              <a16:creationId xmlns:a16="http://schemas.microsoft.com/office/drawing/2014/main" xmlns="" id="{00000000-0008-0000-1900-0000C1C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49602" name="Picture 2" descr="C:\WINDOWS\TEMP\Symbol.gif">
          <a:extLst>
            <a:ext uri="{FF2B5EF4-FFF2-40B4-BE49-F238E27FC236}">
              <a16:creationId xmlns:a16="http://schemas.microsoft.com/office/drawing/2014/main" xmlns="" id="{00000000-0008-0000-1900-0000C2C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9603" name="Picture 3" descr="C:\WINDOWS\TEMP\Symbol.gif">
          <a:extLst>
            <a:ext uri="{FF2B5EF4-FFF2-40B4-BE49-F238E27FC236}">
              <a16:creationId xmlns:a16="http://schemas.microsoft.com/office/drawing/2014/main" xmlns="" id="{00000000-0008-0000-1900-0000C3C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49604" name="Picture 4" descr="C:\WINDOWS\TEMP\Symbol.gif">
          <a:extLst>
            <a:ext uri="{FF2B5EF4-FFF2-40B4-BE49-F238E27FC236}">
              <a16:creationId xmlns:a16="http://schemas.microsoft.com/office/drawing/2014/main" xmlns="" id="{00000000-0008-0000-1900-0000C4C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49605" name="Picture 5" descr="C:\WINDOWS\TEMP\~0003946.gif">
          <a:extLst>
            <a:ext uri="{FF2B5EF4-FFF2-40B4-BE49-F238E27FC236}">
              <a16:creationId xmlns:a16="http://schemas.microsoft.com/office/drawing/2014/main" xmlns="" id="{00000000-0008-0000-1900-0000C5C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49606" name="Picture 6" descr="C:\WINDOWS\TEMP\~0003946.gif">
          <a:extLst>
            <a:ext uri="{FF2B5EF4-FFF2-40B4-BE49-F238E27FC236}">
              <a16:creationId xmlns:a16="http://schemas.microsoft.com/office/drawing/2014/main" xmlns="" id="{00000000-0008-0000-1900-0000C6C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9607" name="Picture 7" descr="C:\WINDOWS\TEMP\~0003946.gif">
          <a:extLst>
            <a:ext uri="{FF2B5EF4-FFF2-40B4-BE49-F238E27FC236}">
              <a16:creationId xmlns:a16="http://schemas.microsoft.com/office/drawing/2014/main" xmlns="" id="{00000000-0008-0000-1900-0000C7C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49608" name="Picture 8" descr="C:\WINDOWS\TEMP\~0003946.gif">
          <a:extLst>
            <a:ext uri="{FF2B5EF4-FFF2-40B4-BE49-F238E27FC236}">
              <a16:creationId xmlns:a16="http://schemas.microsoft.com/office/drawing/2014/main" xmlns="" id="{00000000-0008-0000-1900-0000C8C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49609" name="Picture 9" descr="C:\WINDOWS\TEMP\~0003946.gif">
          <a:extLst>
            <a:ext uri="{FF2B5EF4-FFF2-40B4-BE49-F238E27FC236}">
              <a16:creationId xmlns:a16="http://schemas.microsoft.com/office/drawing/2014/main" xmlns="" id="{00000000-0008-0000-1900-0000C9C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49610" name="Picture 10" descr="C:\WINDOWS\TEMP\~0003946.gif">
          <a:extLst>
            <a:ext uri="{FF2B5EF4-FFF2-40B4-BE49-F238E27FC236}">
              <a16:creationId xmlns:a16="http://schemas.microsoft.com/office/drawing/2014/main" xmlns="" id="{00000000-0008-0000-1900-0000CAC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49611" name="Picture 11" descr="C:\WINDOWS\TEMP\~0003946.gif">
          <a:extLst>
            <a:ext uri="{FF2B5EF4-FFF2-40B4-BE49-F238E27FC236}">
              <a16:creationId xmlns:a16="http://schemas.microsoft.com/office/drawing/2014/main" xmlns="" id="{00000000-0008-0000-1900-0000CBC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49612" name="Picture 12" descr="C:\WINDOWS\TEMP\~0003946.gif">
          <a:extLst>
            <a:ext uri="{FF2B5EF4-FFF2-40B4-BE49-F238E27FC236}">
              <a16:creationId xmlns:a16="http://schemas.microsoft.com/office/drawing/2014/main" xmlns="" id="{00000000-0008-0000-1900-0000CCC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49613" name="Picture 13" descr="logoMTL">
          <a:extLst>
            <a:ext uri="{FF2B5EF4-FFF2-40B4-BE49-F238E27FC236}">
              <a16:creationId xmlns:a16="http://schemas.microsoft.com/office/drawing/2014/main" xmlns="" id="{00000000-0008-0000-1900-0000CDC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49614" name="Picture 14" descr="logoMTL">
          <a:extLst>
            <a:ext uri="{FF2B5EF4-FFF2-40B4-BE49-F238E27FC236}">
              <a16:creationId xmlns:a16="http://schemas.microsoft.com/office/drawing/2014/main" xmlns="" id="{00000000-0008-0000-1900-0000CEC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49615" name="Picture 15" descr="logoMTL">
          <a:extLst>
            <a:ext uri="{FF2B5EF4-FFF2-40B4-BE49-F238E27FC236}">
              <a16:creationId xmlns:a16="http://schemas.microsoft.com/office/drawing/2014/main" xmlns="" id="{00000000-0008-0000-1900-0000CFC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49616" name="Picture 16" descr="logoMTL">
          <a:extLst>
            <a:ext uri="{FF2B5EF4-FFF2-40B4-BE49-F238E27FC236}">
              <a16:creationId xmlns:a16="http://schemas.microsoft.com/office/drawing/2014/main" xmlns="" id="{00000000-0008-0000-1900-0000D0C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51361" name="Picture 1" descr="C:\WINDOWS\TEMP\Symbol.gif">
          <a:extLst>
            <a:ext uri="{FF2B5EF4-FFF2-40B4-BE49-F238E27FC236}">
              <a16:creationId xmlns:a16="http://schemas.microsoft.com/office/drawing/2014/main" xmlns="" id="{00000000-0008-0000-1A00-0000A1C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51362" name="Picture 2" descr="C:\WINDOWS\TEMP\Symbol.gif">
          <a:extLst>
            <a:ext uri="{FF2B5EF4-FFF2-40B4-BE49-F238E27FC236}">
              <a16:creationId xmlns:a16="http://schemas.microsoft.com/office/drawing/2014/main" xmlns="" id="{00000000-0008-0000-1A00-0000A2C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51363" name="Picture 3" descr="C:\WINDOWS\TEMP\Symbol.gif">
          <a:extLst>
            <a:ext uri="{FF2B5EF4-FFF2-40B4-BE49-F238E27FC236}">
              <a16:creationId xmlns:a16="http://schemas.microsoft.com/office/drawing/2014/main" xmlns="" id="{00000000-0008-0000-1A00-0000A3C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1364" name="Picture 4" descr="C:\WINDOWS\TEMP\Symbol.gif">
          <a:extLst>
            <a:ext uri="{FF2B5EF4-FFF2-40B4-BE49-F238E27FC236}">
              <a16:creationId xmlns:a16="http://schemas.microsoft.com/office/drawing/2014/main" xmlns="" id="{00000000-0008-0000-1A00-0000A4C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51365" name="Picture 5" descr="C:\WINDOWS\TEMP\~0003946.gif">
          <a:extLst>
            <a:ext uri="{FF2B5EF4-FFF2-40B4-BE49-F238E27FC236}">
              <a16:creationId xmlns:a16="http://schemas.microsoft.com/office/drawing/2014/main" xmlns="" id="{00000000-0008-0000-1A00-0000A5C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51366" name="Picture 6" descr="C:\WINDOWS\TEMP\~0003946.gif">
          <a:extLst>
            <a:ext uri="{FF2B5EF4-FFF2-40B4-BE49-F238E27FC236}">
              <a16:creationId xmlns:a16="http://schemas.microsoft.com/office/drawing/2014/main" xmlns="" id="{00000000-0008-0000-1A00-0000A6C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51367" name="Picture 7" descr="C:\WINDOWS\TEMP\~0003946.gif">
          <a:extLst>
            <a:ext uri="{FF2B5EF4-FFF2-40B4-BE49-F238E27FC236}">
              <a16:creationId xmlns:a16="http://schemas.microsoft.com/office/drawing/2014/main" xmlns="" id="{00000000-0008-0000-1A00-0000A7C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51368" name="Picture 8" descr="C:\WINDOWS\TEMP\~0003946.gif">
          <a:extLst>
            <a:ext uri="{FF2B5EF4-FFF2-40B4-BE49-F238E27FC236}">
              <a16:creationId xmlns:a16="http://schemas.microsoft.com/office/drawing/2014/main" xmlns="" id="{00000000-0008-0000-1A00-0000A8C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51369" name="Picture 9" descr="C:\WINDOWS\TEMP\~0003946.gif">
          <a:extLst>
            <a:ext uri="{FF2B5EF4-FFF2-40B4-BE49-F238E27FC236}">
              <a16:creationId xmlns:a16="http://schemas.microsoft.com/office/drawing/2014/main" xmlns="" id="{00000000-0008-0000-1A00-0000A9C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51370" name="Picture 10" descr="C:\WINDOWS\TEMP\~0003946.gif">
          <a:extLst>
            <a:ext uri="{FF2B5EF4-FFF2-40B4-BE49-F238E27FC236}">
              <a16:creationId xmlns:a16="http://schemas.microsoft.com/office/drawing/2014/main" xmlns="" id="{00000000-0008-0000-1A00-0000AAC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51371" name="Picture 11" descr="C:\WINDOWS\TEMP\~0003946.gif">
          <a:extLst>
            <a:ext uri="{FF2B5EF4-FFF2-40B4-BE49-F238E27FC236}">
              <a16:creationId xmlns:a16="http://schemas.microsoft.com/office/drawing/2014/main" xmlns="" id="{00000000-0008-0000-1A00-0000ABC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51372" name="Picture 12" descr="C:\WINDOWS\TEMP\~0003946.gif">
          <a:extLst>
            <a:ext uri="{FF2B5EF4-FFF2-40B4-BE49-F238E27FC236}">
              <a16:creationId xmlns:a16="http://schemas.microsoft.com/office/drawing/2014/main" xmlns="" id="{00000000-0008-0000-1A00-0000ACC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51373" name="Picture 13" descr="logoMTL">
          <a:extLst>
            <a:ext uri="{FF2B5EF4-FFF2-40B4-BE49-F238E27FC236}">
              <a16:creationId xmlns:a16="http://schemas.microsoft.com/office/drawing/2014/main" xmlns="" id="{00000000-0008-0000-1A00-0000ADC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51374" name="Picture 14" descr="logoMTL">
          <a:extLst>
            <a:ext uri="{FF2B5EF4-FFF2-40B4-BE49-F238E27FC236}">
              <a16:creationId xmlns:a16="http://schemas.microsoft.com/office/drawing/2014/main" xmlns="" id="{00000000-0008-0000-1A00-0000AEC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51375" name="Picture 15" descr="logoMTL">
          <a:extLst>
            <a:ext uri="{FF2B5EF4-FFF2-40B4-BE49-F238E27FC236}">
              <a16:creationId xmlns:a16="http://schemas.microsoft.com/office/drawing/2014/main" xmlns="" id="{00000000-0008-0000-1A00-0000AFC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51376" name="Picture 16" descr="logoMTL">
          <a:extLst>
            <a:ext uri="{FF2B5EF4-FFF2-40B4-BE49-F238E27FC236}">
              <a16:creationId xmlns:a16="http://schemas.microsoft.com/office/drawing/2014/main" xmlns="" id="{00000000-0008-0000-1A00-0000B0C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1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1B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1B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1B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1B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1B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1B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1B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1B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1B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1B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1B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1B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1B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1B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17" name="Picture 16" descr="logoMTL">
          <a:extLst>
            <a:ext uri="{FF2B5EF4-FFF2-40B4-BE49-F238E27FC236}">
              <a16:creationId xmlns:a16="http://schemas.microsoft.com/office/drawing/2014/main" xmlns="" id="{00000000-0008-0000-1B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1C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1C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1C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1C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1C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1C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1C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1C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1C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1C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1C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1C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1C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1C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1C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17" name="Picture 16" descr="logoMTL">
          <a:extLst>
            <a:ext uri="{FF2B5EF4-FFF2-40B4-BE49-F238E27FC236}">
              <a16:creationId xmlns:a16="http://schemas.microsoft.com/office/drawing/2014/main" xmlns="" id="{00000000-0008-0000-1C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7633" name="Picture 1" descr="C:\WINDOWS\TEMP\Symbol.gif">
          <a:extLst>
            <a:ext uri="{FF2B5EF4-FFF2-40B4-BE49-F238E27FC236}">
              <a16:creationId xmlns:a16="http://schemas.microsoft.com/office/drawing/2014/main" xmlns="" id="{00000000-0008-0000-0200-0000F16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114</xdr:row>
      <xdr:rowOff>161925</xdr:rowOff>
    </xdr:from>
    <xdr:to>
      <xdr:col>1</xdr:col>
      <xdr:colOff>28575</xdr:colOff>
      <xdr:row>115</xdr:row>
      <xdr:rowOff>200025</xdr:rowOff>
    </xdr:to>
    <xdr:pic>
      <xdr:nvPicPr>
        <xdr:cNvPr id="27634" name="Picture 2" descr="C:\WINDOWS\TEMP\Symbol.gif">
          <a:extLst>
            <a:ext uri="{FF2B5EF4-FFF2-40B4-BE49-F238E27FC236}">
              <a16:creationId xmlns:a16="http://schemas.microsoft.com/office/drawing/2014/main" xmlns="" id="{00000000-0008-0000-0200-0000F26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517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181</xdr:row>
      <xdr:rowOff>171450</xdr:rowOff>
    </xdr:from>
    <xdr:to>
      <xdr:col>1</xdr:col>
      <xdr:colOff>47625</xdr:colOff>
      <xdr:row>182</xdr:row>
      <xdr:rowOff>209550</xdr:rowOff>
    </xdr:to>
    <xdr:pic>
      <xdr:nvPicPr>
        <xdr:cNvPr id="27635" name="Picture 3" descr="C:\WINDOWS\TEMP\Symbol.gif">
          <a:extLst>
            <a:ext uri="{FF2B5EF4-FFF2-40B4-BE49-F238E27FC236}">
              <a16:creationId xmlns:a16="http://schemas.microsoft.com/office/drawing/2014/main" xmlns="" id="{00000000-0008-0000-0200-0000F36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023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280</xdr:row>
      <xdr:rowOff>161925</xdr:rowOff>
    </xdr:from>
    <xdr:to>
      <xdr:col>1</xdr:col>
      <xdr:colOff>19050</xdr:colOff>
      <xdr:row>281</xdr:row>
      <xdr:rowOff>200025</xdr:rowOff>
    </xdr:to>
    <xdr:pic>
      <xdr:nvPicPr>
        <xdr:cNvPr id="27636" name="Picture 4" descr="C:\WINDOWS\TEMP\Symbol.gif">
          <a:extLst>
            <a:ext uri="{FF2B5EF4-FFF2-40B4-BE49-F238E27FC236}">
              <a16:creationId xmlns:a16="http://schemas.microsoft.com/office/drawing/2014/main" xmlns="" id="{00000000-0008-0000-0200-0000F46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902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280</xdr:row>
      <xdr:rowOff>123825</xdr:rowOff>
    </xdr:from>
    <xdr:to>
      <xdr:col>14</xdr:col>
      <xdr:colOff>1895475</xdr:colOff>
      <xdr:row>281</xdr:row>
      <xdr:rowOff>152400</xdr:rowOff>
    </xdr:to>
    <xdr:pic>
      <xdr:nvPicPr>
        <xdr:cNvPr id="27637" name="Picture 5" descr="C:\WINDOWS\TEMP\~0003946.gif">
          <a:extLst>
            <a:ext uri="{FF2B5EF4-FFF2-40B4-BE49-F238E27FC236}">
              <a16:creationId xmlns:a16="http://schemas.microsoft.com/office/drawing/2014/main" xmlns="" id="{00000000-0008-0000-0200-0000F5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56864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181</xdr:row>
      <xdr:rowOff>152400</xdr:rowOff>
    </xdr:from>
    <xdr:to>
      <xdr:col>14</xdr:col>
      <xdr:colOff>1924050</xdr:colOff>
      <xdr:row>182</xdr:row>
      <xdr:rowOff>180975</xdr:rowOff>
    </xdr:to>
    <xdr:pic>
      <xdr:nvPicPr>
        <xdr:cNvPr id="27638" name="Picture 6" descr="C:\WINDOWS\TEMP\~0003946.gif">
          <a:extLst>
            <a:ext uri="{FF2B5EF4-FFF2-40B4-BE49-F238E27FC236}">
              <a16:creationId xmlns:a16="http://schemas.microsoft.com/office/drawing/2014/main" xmlns="" id="{00000000-0008-0000-0200-0000F6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700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114</xdr:row>
      <xdr:rowOff>161925</xdr:rowOff>
    </xdr:from>
    <xdr:to>
      <xdr:col>14</xdr:col>
      <xdr:colOff>1952625</xdr:colOff>
      <xdr:row>115</xdr:row>
      <xdr:rowOff>190500</xdr:rowOff>
    </xdr:to>
    <xdr:pic>
      <xdr:nvPicPr>
        <xdr:cNvPr id="27639" name="Picture 7" descr="C:\WINDOWS\TEMP\~0003946.gif">
          <a:extLst>
            <a:ext uri="{FF2B5EF4-FFF2-40B4-BE49-F238E27FC236}">
              <a16:creationId xmlns:a16="http://schemas.microsoft.com/office/drawing/2014/main" xmlns="" id="{00000000-0008-0000-0200-0000F7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51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27640" name="Picture 8" descr="C:\WINDOWS\TEMP\~0003946.gif">
          <a:extLst>
            <a:ext uri="{FF2B5EF4-FFF2-40B4-BE49-F238E27FC236}">
              <a16:creationId xmlns:a16="http://schemas.microsoft.com/office/drawing/2014/main" xmlns="" id="{00000000-0008-0000-0200-0000F8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27641" name="Picture 9" descr="C:\WINDOWS\TEMP\~0003946.gif">
          <a:extLst>
            <a:ext uri="{FF2B5EF4-FFF2-40B4-BE49-F238E27FC236}">
              <a16:creationId xmlns:a16="http://schemas.microsoft.com/office/drawing/2014/main" xmlns="" id="{00000000-0008-0000-0200-0000F9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114</xdr:row>
      <xdr:rowOff>123825</xdr:rowOff>
    </xdr:from>
    <xdr:to>
      <xdr:col>14</xdr:col>
      <xdr:colOff>895350</xdr:colOff>
      <xdr:row>115</xdr:row>
      <xdr:rowOff>152400</xdr:rowOff>
    </xdr:to>
    <xdr:pic>
      <xdr:nvPicPr>
        <xdr:cNvPr id="27642" name="Picture 10" descr="C:\WINDOWS\TEMP\~0003946.gif">
          <a:extLst>
            <a:ext uri="{FF2B5EF4-FFF2-40B4-BE49-F238E27FC236}">
              <a16:creationId xmlns:a16="http://schemas.microsoft.com/office/drawing/2014/main" xmlns="" id="{00000000-0008-0000-0200-0000FA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479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181</xdr:row>
      <xdr:rowOff>104775</xdr:rowOff>
    </xdr:from>
    <xdr:to>
      <xdr:col>14</xdr:col>
      <xdr:colOff>809625</xdr:colOff>
      <xdr:row>182</xdr:row>
      <xdr:rowOff>133350</xdr:rowOff>
    </xdr:to>
    <xdr:pic>
      <xdr:nvPicPr>
        <xdr:cNvPr id="27643" name="Picture 11" descr="C:\WINDOWS\TEMP\~0003946.gif">
          <a:extLst>
            <a:ext uri="{FF2B5EF4-FFF2-40B4-BE49-F238E27FC236}">
              <a16:creationId xmlns:a16="http://schemas.microsoft.com/office/drawing/2014/main" xmlns="" id="{00000000-0008-0000-0200-0000FB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957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280</xdr:row>
      <xdr:rowOff>104775</xdr:rowOff>
    </xdr:from>
    <xdr:to>
      <xdr:col>14</xdr:col>
      <xdr:colOff>895350</xdr:colOff>
      <xdr:row>281</xdr:row>
      <xdr:rowOff>133350</xdr:rowOff>
    </xdr:to>
    <xdr:pic>
      <xdr:nvPicPr>
        <xdr:cNvPr id="27644" name="Picture 12" descr="C:\WINDOWS\TEMP\~0003946.gif">
          <a:extLst>
            <a:ext uri="{FF2B5EF4-FFF2-40B4-BE49-F238E27FC236}">
              <a16:creationId xmlns:a16="http://schemas.microsoft.com/office/drawing/2014/main" xmlns="" id="{00000000-0008-0000-0200-0000FC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5684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27645" name="Picture 13" descr="logoMTL">
          <a:extLst>
            <a:ext uri="{FF2B5EF4-FFF2-40B4-BE49-F238E27FC236}">
              <a16:creationId xmlns:a16="http://schemas.microsoft.com/office/drawing/2014/main" xmlns="" id="{00000000-0008-0000-0200-0000FD6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114</xdr:row>
      <xdr:rowOff>38100</xdr:rowOff>
    </xdr:from>
    <xdr:to>
      <xdr:col>13</xdr:col>
      <xdr:colOff>1171575</xdr:colOff>
      <xdr:row>115</xdr:row>
      <xdr:rowOff>161925</xdr:rowOff>
    </xdr:to>
    <xdr:pic>
      <xdr:nvPicPr>
        <xdr:cNvPr id="27646" name="Picture 14" descr="logoMTL">
          <a:extLst>
            <a:ext uri="{FF2B5EF4-FFF2-40B4-BE49-F238E27FC236}">
              <a16:creationId xmlns:a16="http://schemas.microsoft.com/office/drawing/2014/main" xmlns="" id="{00000000-0008-0000-0200-0000FE6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393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181</xdr:row>
      <xdr:rowOff>28575</xdr:rowOff>
    </xdr:from>
    <xdr:to>
      <xdr:col>13</xdr:col>
      <xdr:colOff>1171575</xdr:colOff>
      <xdr:row>182</xdr:row>
      <xdr:rowOff>152400</xdr:rowOff>
    </xdr:to>
    <xdr:pic>
      <xdr:nvPicPr>
        <xdr:cNvPr id="27647" name="Picture 15" descr="logoMTL">
          <a:extLst>
            <a:ext uri="{FF2B5EF4-FFF2-40B4-BE49-F238E27FC236}">
              <a16:creationId xmlns:a16="http://schemas.microsoft.com/office/drawing/2014/main" xmlns="" id="{00000000-0008-0000-0200-0000FF6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880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280</xdr:row>
      <xdr:rowOff>0</xdr:rowOff>
    </xdr:from>
    <xdr:to>
      <xdr:col>13</xdr:col>
      <xdr:colOff>1228725</xdr:colOff>
      <xdr:row>281</xdr:row>
      <xdr:rowOff>123825</xdr:rowOff>
    </xdr:to>
    <xdr:pic>
      <xdr:nvPicPr>
        <xdr:cNvPr id="54272" name="Picture 16" descr="logoMTL">
          <a:extLst>
            <a:ext uri="{FF2B5EF4-FFF2-40B4-BE49-F238E27FC236}">
              <a16:creationId xmlns:a16="http://schemas.microsoft.com/office/drawing/2014/main" xmlns="" id="{00000000-0008-0000-0200-000000D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6740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1D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1D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1D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1D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1D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1D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1D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1D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1D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1D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1D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1D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1D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1D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1D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17" name="Picture 16" descr="logoMTL">
          <a:extLst>
            <a:ext uri="{FF2B5EF4-FFF2-40B4-BE49-F238E27FC236}">
              <a16:creationId xmlns:a16="http://schemas.microsoft.com/office/drawing/2014/main" xmlns="" id="{00000000-0008-0000-1D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1E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1E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1E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1E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1E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1E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1E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1E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1E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1E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1E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1E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1E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1E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1E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17" name="Picture 16" descr="logoMTL">
          <a:extLst>
            <a:ext uri="{FF2B5EF4-FFF2-40B4-BE49-F238E27FC236}">
              <a16:creationId xmlns:a16="http://schemas.microsoft.com/office/drawing/2014/main" xmlns="" id="{00000000-0008-0000-1E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1F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1F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1F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1F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1F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1F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1F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1F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1F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1F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1F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1F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1F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1F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1F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17" name="Picture 16" descr="logoMTL">
          <a:extLst>
            <a:ext uri="{FF2B5EF4-FFF2-40B4-BE49-F238E27FC236}">
              <a16:creationId xmlns:a16="http://schemas.microsoft.com/office/drawing/2014/main" xmlns="" id="{00000000-0008-0000-1F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2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20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20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20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20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20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20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20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20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20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20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20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20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20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2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17" name="Picture 16" descr="logoMTL">
          <a:extLst>
            <a:ext uri="{FF2B5EF4-FFF2-40B4-BE49-F238E27FC236}">
              <a16:creationId xmlns:a16="http://schemas.microsoft.com/office/drawing/2014/main" xmlns="" id="{00000000-0008-0000-20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2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21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2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21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21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21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21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21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21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21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21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21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21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2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21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17" name="Picture 16" descr="logoMTL">
          <a:extLst>
            <a:ext uri="{FF2B5EF4-FFF2-40B4-BE49-F238E27FC236}">
              <a16:creationId xmlns:a16="http://schemas.microsoft.com/office/drawing/2014/main" xmlns="" id="{00000000-0008-0000-2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2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22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22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22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22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22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22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22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22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22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22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22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22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22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22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17" name="Picture 16" descr="logoMTL">
          <a:extLst>
            <a:ext uri="{FF2B5EF4-FFF2-40B4-BE49-F238E27FC236}">
              <a16:creationId xmlns:a16="http://schemas.microsoft.com/office/drawing/2014/main" xmlns="" id="{00000000-0008-0000-22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2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23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23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23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3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23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093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23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23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23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23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23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23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23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07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23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2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23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17" name="Picture 16" descr="logoMTL">
          <a:extLst>
            <a:ext uri="{FF2B5EF4-FFF2-40B4-BE49-F238E27FC236}">
              <a16:creationId xmlns:a16="http://schemas.microsoft.com/office/drawing/2014/main" xmlns="" id="{00000000-0008-0000-23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694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2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24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2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24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59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24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121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24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24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24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24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24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24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24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102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24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24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24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17" name="Picture 16" descr="logoMTL">
          <a:extLst>
            <a:ext uri="{FF2B5EF4-FFF2-40B4-BE49-F238E27FC236}">
              <a16:creationId xmlns:a16="http://schemas.microsoft.com/office/drawing/2014/main" xmlns="" id="{00000000-0008-0000-24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97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25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59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25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121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25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25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25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25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25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25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25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102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25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25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25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13</xdr:col>
      <xdr:colOff>1228725</xdr:colOff>
      <xdr:row>297</xdr:row>
      <xdr:rowOff>123825</xdr:rowOff>
    </xdr:to>
    <xdr:pic>
      <xdr:nvPicPr>
        <xdr:cNvPr id="17" name="Picture 16" descr="logoMTL">
          <a:extLst>
            <a:ext uri="{FF2B5EF4-FFF2-40B4-BE49-F238E27FC236}">
              <a16:creationId xmlns:a16="http://schemas.microsoft.com/office/drawing/2014/main" xmlns="" id="{00000000-0008-0000-25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97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2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26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26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296</xdr:row>
      <xdr:rowOff>161925</xdr:rowOff>
    </xdr:from>
    <xdr:to>
      <xdr:col>1</xdr:col>
      <xdr:colOff>19050</xdr:colOff>
      <xdr:row>297</xdr:row>
      <xdr:rowOff>200025</xdr:rowOff>
    </xdr:to>
    <xdr:pic>
      <xdr:nvPicPr>
        <xdr:cNvPr id="5" name="Picture 4" descr="C:\WINDOWS\TEMP\Symbol.gif">
          <a:extLst>
            <a:ext uri="{FF2B5EF4-FFF2-40B4-BE49-F238E27FC236}">
              <a16:creationId xmlns:a16="http://schemas.microsoft.com/office/drawing/2014/main" xmlns="" id="{00000000-0008-0000-26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59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296</xdr:row>
      <xdr:rowOff>123825</xdr:rowOff>
    </xdr:from>
    <xdr:to>
      <xdr:col>14</xdr:col>
      <xdr:colOff>1895475</xdr:colOff>
      <xdr:row>297</xdr:row>
      <xdr:rowOff>152400</xdr:rowOff>
    </xdr:to>
    <xdr:pic>
      <xdr:nvPicPr>
        <xdr:cNvPr id="6" name="Picture 5" descr="C:\WINDOWS\TEMP\~0003946.gif">
          <a:extLst>
            <a:ext uri="{FF2B5EF4-FFF2-40B4-BE49-F238E27FC236}">
              <a16:creationId xmlns:a16="http://schemas.microsoft.com/office/drawing/2014/main" xmlns="" id="{00000000-0008-0000-26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121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26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26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26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26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26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26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296</xdr:row>
      <xdr:rowOff>104775</xdr:rowOff>
    </xdr:from>
    <xdr:to>
      <xdr:col>14</xdr:col>
      <xdr:colOff>895350</xdr:colOff>
      <xdr:row>297</xdr:row>
      <xdr:rowOff>133350</xdr:rowOff>
    </xdr:to>
    <xdr:pic>
      <xdr:nvPicPr>
        <xdr:cNvPr id="13" name="Picture 12" descr="C:\WINDOWS\TEMP\~0003946.gif">
          <a:extLst>
            <a:ext uri="{FF2B5EF4-FFF2-40B4-BE49-F238E27FC236}">
              <a16:creationId xmlns:a16="http://schemas.microsoft.com/office/drawing/2014/main" xmlns="" id="{00000000-0008-0000-26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102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26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26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26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296</xdr:row>
      <xdr:rowOff>0</xdr:rowOff>
    </xdr:from>
    <xdr:to>
      <xdr:col>14</xdr:col>
      <xdr:colOff>0</xdr:colOff>
      <xdr:row>297</xdr:row>
      <xdr:rowOff>123825</xdr:rowOff>
    </xdr:to>
    <xdr:pic>
      <xdr:nvPicPr>
        <xdr:cNvPr id="17" name="Picture 16" descr="logoMTL">
          <a:extLst>
            <a:ext uri="{FF2B5EF4-FFF2-40B4-BE49-F238E27FC236}">
              <a16:creationId xmlns:a16="http://schemas.microsoft.com/office/drawing/2014/main" xmlns="" id="{00000000-0008-0000-26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979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8657" name="Picture 1" descr="C:\WINDOWS\TEMP\Symbol.gif">
          <a:extLst>
            <a:ext uri="{FF2B5EF4-FFF2-40B4-BE49-F238E27FC236}">
              <a16:creationId xmlns:a16="http://schemas.microsoft.com/office/drawing/2014/main" xmlns="" id="{00000000-0008-0000-0300-0000F16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114</xdr:row>
      <xdr:rowOff>161925</xdr:rowOff>
    </xdr:from>
    <xdr:to>
      <xdr:col>1</xdr:col>
      <xdr:colOff>28575</xdr:colOff>
      <xdr:row>115</xdr:row>
      <xdr:rowOff>200025</xdr:rowOff>
    </xdr:to>
    <xdr:pic>
      <xdr:nvPicPr>
        <xdr:cNvPr id="28658" name="Picture 2" descr="C:\WINDOWS\TEMP\Symbol.gif">
          <a:extLst>
            <a:ext uri="{FF2B5EF4-FFF2-40B4-BE49-F238E27FC236}">
              <a16:creationId xmlns:a16="http://schemas.microsoft.com/office/drawing/2014/main" xmlns="" id="{00000000-0008-0000-0300-0000F26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517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181</xdr:row>
      <xdr:rowOff>171450</xdr:rowOff>
    </xdr:from>
    <xdr:to>
      <xdr:col>1</xdr:col>
      <xdr:colOff>47625</xdr:colOff>
      <xdr:row>182</xdr:row>
      <xdr:rowOff>209550</xdr:rowOff>
    </xdr:to>
    <xdr:pic>
      <xdr:nvPicPr>
        <xdr:cNvPr id="28659" name="Picture 3" descr="C:\WINDOWS\TEMP\Symbol.gif">
          <a:extLst>
            <a:ext uri="{FF2B5EF4-FFF2-40B4-BE49-F238E27FC236}">
              <a16:creationId xmlns:a16="http://schemas.microsoft.com/office/drawing/2014/main" xmlns="" id="{00000000-0008-0000-0300-0000F36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023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280</xdr:row>
      <xdr:rowOff>161925</xdr:rowOff>
    </xdr:from>
    <xdr:to>
      <xdr:col>1</xdr:col>
      <xdr:colOff>19050</xdr:colOff>
      <xdr:row>281</xdr:row>
      <xdr:rowOff>200025</xdr:rowOff>
    </xdr:to>
    <xdr:pic>
      <xdr:nvPicPr>
        <xdr:cNvPr id="28660" name="Picture 4" descr="C:\WINDOWS\TEMP\Symbol.gif">
          <a:extLst>
            <a:ext uri="{FF2B5EF4-FFF2-40B4-BE49-F238E27FC236}">
              <a16:creationId xmlns:a16="http://schemas.microsoft.com/office/drawing/2014/main" xmlns="" id="{00000000-0008-0000-0300-0000F46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902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280</xdr:row>
      <xdr:rowOff>123825</xdr:rowOff>
    </xdr:from>
    <xdr:to>
      <xdr:col>14</xdr:col>
      <xdr:colOff>1895475</xdr:colOff>
      <xdr:row>281</xdr:row>
      <xdr:rowOff>152400</xdr:rowOff>
    </xdr:to>
    <xdr:pic>
      <xdr:nvPicPr>
        <xdr:cNvPr id="28661" name="Picture 5" descr="C:\WINDOWS\TEMP\~0003946.gif">
          <a:extLst>
            <a:ext uri="{FF2B5EF4-FFF2-40B4-BE49-F238E27FC236}">
              <a16:creationId xmlns:a16="http://schemas.microsoft.com/office/drawing/2014/main" xmlns="" id="{00000000-0008-0000-0300-0000F5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56864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181</xdr:row>
      <xdr:rowOff>152400</xdr:rowOff>
    </xdr:from>
    <xdr:to>
      <xdr:col>14</xdr:col>
      <xdr:colOff>1924050</xdr:colOff>
      <xdr:row>182</xdr:row>
      <xdr:rowOff>180975</xdr:rowOff>
    </xdr:to>
    <xdr:pic>
      <xdr:nvPicPr>
        <xdr:cNvPr id="28662" name="Picture 6" descr="C:\WINDOWS\TEMP\~0003946.gif">
          <a:extLst>
            <a:ext uri="{FF2B5EF4-FFF2-40B4-BE49-F238E27FC236}">
              <a16:creationId xmlns:a16="http://schemas.microsoft.com/office/drawing/2014/main" xmlns="" id="{00000000-0008-0000-0300-0000F6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700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114</xdr:row>
      <xdr:rowOff>161925</xdr:rowOff>
    </xdr:from>
    <xdr:to>
      <xdr:col>14</xdr:col>
      <xdr:colOff>1952625</xdr:colOff>
      <xdr:row>115</xdr:row>
      <xdr:rowOff>190500</xdr:rowOff>
    </xdr:to>
    <xdr:pic>
      <xdr:nvPicPr>
        <xdr:cNvPr id="28663" name="Picture 7" descr="C:\WINDOWS\TEMP\~0003946.gif">
          <a:extLst>
            <a:ext uri="{FF2B5EF4-FFF2-40B4-BE49-F238E27FC236}">
              <a16:creationId xmlns:a16="http://schemas.microsoft.com/office/drawing/2014/main" xmlns="" id="{00000000-0008-0000-0300-0000F7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51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28664" name="Picture 8" descr="C:\WINDOWS\TEMP\~0003946.gif">
          <a:extLst>
            <a:ext uri="{FF2B5EF4-FFF2-40B4-BE49-F238E27FC236}">
              <a16:creationId xmlns:a16="http://schemas.microsoft.com/office/drawing/2014/main" xmlns="" id="{00000000-0008-0000-0300-0000F8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28665" name="Picture 9" descr="C:\WINDOWS\TEMP\~0003946.gif">
          <a:extLst>
            <a:ext uri="{FF2B5EF4-FFF2-40B4-BE49-F238E27FC236}">
              <a16:creationId xmlns:a16="http://schemas.microsoft.com/office/drawing/2014/main" xmlns="" id="{00000000-0008-0000-0300-0000F9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114</xdr:row>
      <xdr:rowOff>123825</xdr:rowOff>
    </xdr:from>
    <xdr:to>
      <xdr:col>14</xdr:col>
      <xdr:colOff>895350</xdr:colOff>
      <xdr:row>115</xdr:row>
      <xdr:rowOff>152400</xdr:rowOff>
    </xdr:to>
    <xdr:pic>
      <xdr:nvPicPr>
        <xdr:cNvPr id="28666" name="Picture 10" descr="C:\WINDOWS\TEMP\~0003946.gif">
          <a:extLst>
            <a:ext uri="{FF2B5EF4-FFF2-40B4-BE49-F238E27FC236}">
              <a16:creationId xmlns:a16="http://schemas.microsoft.com/office/drawing/2014/main" xmlns="" id="{00000000-0008-0000-0300-0000FA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479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181</xdr:row>
      <xdr:rowOff>104775</xdr:rowOff>
    </xdr:from>
    <xdr:to>
      <xdr:col>14</xdr:col>
      <xdr:colOff>809625</xdr:colOff>
      <xdr:row>182</xdr:row>
      <xdr:rowOff>133350</xdr:rowOff>
    </xdr:to>
    <xdr:pic>
      <xdr:nvPicPr>
        <xdr:cNvPr id="28667" name="Picture 11" descr="C:\WINDOWS\TEMP\~0003946.gif">
          <a:extLst>
            <a:ext uri="{FF2B5EF4-FFF2-40B4-BE49-F238E27FC236}">
              <a16:creationId xmlns:a16="http://schemas.microsoft.com/office/drawing/2014/main" xmlns="" id="{00000000-0008-0000-0300-0000FB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957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280</xdr:row>
      <xdr:rowOff>104775</xdr:rowOff>
    </xdr:from>
    <xdr:to>
      <xdr:col>14</xdr:col>
      <xdr:colOff>895350</xdr:colOff>
      <xdr:row>281</xdr:row>
      <xdr:rowOff>133350</xdr:rowOff>
    </xdr:to>
    <xdr:pic>
      <xdr:nvPicPr>
        <xdr:cNvPr id="28668" name="Picture 12" descr="C:\WINDOWS\TEMP\~0003946.gif">
          <a:extLst>
            <a:ext uri="{FF2B5EF4-FFF2-40B4-BE49-F238E27FC236}">
              <a16:creationId xmlns:a16="http://schemas.microsoft.com/office/drawing/2014/main" xmlns="" id="{00000000-0008-0000-0300-0000FC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5684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28669" name="Picture 13" descr="logoMTL">
          <a:extLst>
            <a:ext uri="{FF2B5EF4-FFF2-40B4-BE49-F238E27FC236}">
              <a16:creationId xmlns:a16="http://schemas.microsoft.com/office/drawing/2014/main" xmlns="" id="{00000000-0008-0000-0300-0000FD6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114</xdr:row>
      <xdr:rowOff>38100</xdr:rowOff>
    </xdr:from>
    <xdr:to>
      <xdr:col>13</xdr:col>
      <xdr:colOff>1171575</xdr:colOff>
      <xdr:row>115</xdr:row>
      <xdr:rowOff>161925</xdr:rowOff>
    </xdr:to>
    <xdr:pic>
      <xdr:nvPicPr>
        <xdr:cNvPr id="28670" name="Picture 14" descr="logoMTL">
          <a:extLst>
            <a:ext uri="{FF2B5EF4-FFF2-40B4-BE49-F238E27FC236}">
              <a16:creationId xmlns:a16="http://schemas.microsoft.com/office/drawing/2014/main" xmlns="" id="{00000000-0008-0000-0300-0000FE6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393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181</xdr:row>
      <xdr:rowOff>28575</xdr:rowOff>
    </xdr:from>
    <xdr:to>
      <xdr:col>13</xdr:col>
      <xdr:colOff>1171575</xdr:colOff>
      <xdr:row>182</xdr:row>
      <xdr:rowOff>152400</xdr:rowOff>
    </xdr:to>
    <xdr:pic>
      <xdr:nvPicPr>
        <xdr:cNvPr id="28671" name="Picture 15" descr="logoMTL">
          <a:extLst>
            <a:ext uri="{FF2B5EF4-FFF2-40B4-BE49-F238E27FC236}">
              <a16:creationId xmlns:a16="http://schemas.microsoft.com/office/drawing/2014/main" xmlns="" id="{00000000-0008-0000-0300-0000FF6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880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280</xdr:row>
      <xdr:rowOff>0</xdr:rowOff>
    </xdr:from>
    <xdr:to>
      <xdr:col>13</xdr:col>
      <xdr:colOff>1228725</xdr:colOff>
      <xdr:row>281</xdr:row>
      <xdr:rowOff>123825</xdr:rowOff>
    </xdr:to>
    <xdr:pic>
      <xdr:nvPicPr>
        <xdr:cNvPr id="55296" name="Picture 16" descr="logoMTL">
          <a:extLst>
            <a:ext uri="{FF2B5EF4-FFF2-40B4-BE49-F238E27FC236}">
              <a16:creationId xmlns:a16="http://schemas.microsoft.com/office/drawing/2014/main" xmlns="" id="{00000000-0008-0000-0300-000000D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6740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00000000-0008-0000-27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00000000-0008-0000-27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00000000-0008-0000-27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xmlns="" id="{00000000-0008-0000-27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1599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295</xdr:row>
      <xdr:rowOff>123825</xdr:rowOff>
    </xdr:from>
    <xdr:to>
      <xdr:col>14</xdr:col>
      <xdr:colOff>1895475</xdr:colOff>
      <xdr:row>296</xdr:row>
      <xdr:rowOff>152400</xdr:rowOff>
    </xdr:to>
    <xdr:pic>
      <xdr:nvPicPr>
        <xdr:cNvPr id="6" name="Picture 5" descr="C:\WINDOWS\TEMP\~0003946.gif">
          <a:extLst>
            <a:ext uri="{FF2B5EF4-FFF2-40B4-BE49-F238E27FC236}">
              <a16:creationId xmlns:a16="http://schemas.microsoft.com/office/drawing/2014/main" xmlns="" id="{00000000-0008-0000-27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60121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00000000-0008-0000-27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0000000-0008-0000-27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00000000-0008-0000-27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00000000-0008-0000-27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00000000-0008-0000-27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00000000-0008-0000-27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295</xdr:row>
      <xdr:rowOff>104775</xdr:rowOff>
    </xdr:from>
    <xdr:to>
      <xdr:col>14</xdr:col>
      <xdr:colOff>895350</xdr:colOff>
      <xdr:row>296</xdr:row>
      <xdr:rowOff>133350</xdr:rowOff>
    </xdr:to>
    <xdr:pic>
      <xdr:nvPicPr>
        <xdr:cNvPr id="13" name="Picture 12" descr="C:\WINDOWS\TEMP\~0003946.gif">
          <a:extLst>
            <a:ext uri="{FF2B5EF4-FFF2-40B4-BE49-F238E27FC236}">
              <a16:creationId xmlns:a16="http://schemas.microsoft.com/office/drawing/2014/main" xmlns="" id="{00000000-0008-0000-27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60102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00000000-0008-0000-27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0000000-0008-0000-27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00000000-0008-0000-27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295</xdr:row>
      <xdr:rowOff>0</xdr:rowOff>
    </xdr:from>
    <xdr:to>
      <xdr:col>14</xdr:col>
      <xdr:colOff>0</xdr:colOff>
      <xdr:row>296</xdr:row>
      <xdr:rowOff>123824</xdr:rowOff>
    </xdr:to>
    <xdr:pic>
      <xdr:nvPicPr>
        <xdr:cNvPr id="17" name="Picture 16" descr="logoMTL">
          <a:extLst>
            <a:ext uri="{FF2B5EF4-FFF2-40B4-BE49-F238E27FC236}">
              <a16:creationId xmlns:a16="http://schemas.microsoft.com/office/drawing/2014/main" xmlns="" id="{00000000-0008-0000-27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997975"/>
          <a:ext cx="8382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29D2514E-CFB3-4992-9697-8B3598D2A1D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80635A4D-BFA2-4809-BB6C-CB94F7B606E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650B8AF1-F50C-48BB-A776-77EE638E992E}"/>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xmlns="" id="{D3229634-555D-4135-B348-6D74B6C7805A}"/>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9598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295</xdr:row>
      <xdr:rowOff>123825</xdr:rowOff>
    </xdr:from>
    <xdr:to>
      <xdr:col>14</xdr:col>
      <xdr:colOff>1895475</xdr:colOff>
      <xdr:row>296</xdr:row>
      <xdr:rowOff>152400</xdr:rowOff>
    </xdr:to>
    <xdr:pic>
      <xdr:nvPicPr>
        <xdr:cNvPr id="6" name="Picture 5" descr="C:\WINDOWS\TEMP\~0003946.gif">
          <a:extLst>
            <a:ext uri="{FF2B5EF4-FFF2-40B4-BE49-F238E27FC236}">
              <a16:creationId xmlns:a16="http://schemas.microsoft.com/office/drawing/2014/main" xmlns="" id="{9FC03916-14FA-4E13-B8B0-8CDD506F8E45}"/>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59921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9FB27E7C-DB64-47F4-8A6C-9EC23A039B68}"/>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0B2EF32D-BFFE-4419-B0CA-22E76F19B1E8}"/>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7E048CB0-2E6E-4D7A-94D0-B0ACBE56197B}"/>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E1F85FD1-6CC9-4427-9099-249CEC42A7CD}"/>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474CEEC7-892C-49BA-AE24-12442D7977FE}"/>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576EFD44-CF91-4BF1-AEF3-23799F1F02BB}"/>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295</xdr:row>
      <xdr:rowOff>104775</xdr:rowOff>
    </xdr:from>
    <xdr:to>
      <xdr:col>14</xdr:col>
      <xdr:colOff>895350</xdr:colOff>
      <xdr:row>296</xdr:row>
      <xdr:rowOff>133350</xdr:rowOff>
    </xdr:to>
    <xdr:pic>
      <xdr:nvPicPr>
        <xdr:cNvPr id="13" name="Picture 12" descr="C:\WINDOWS\TEMP\~0003946.gif">
          <a:extLst>
            <a:ext uri="{FF2B5EF4-FFF2-40B4-BE49-F238E27FC236}">
              <a16:creationId xmlns:a16="http://schemas.microsoft.com/office/drawing/2014/main" xmlns="" id="{BD794B0F-3130-4B39-967D-8F5DE0A7609D}"/>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59902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1D1F27F5-8474-4328-A526-351B0BDCFC3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3B583DE1-216C-4018-A245-F7C5C026E2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BCBC8D0B-DB35-4DA5-9B8A-6DECDCA8A44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295</xdr:row>
      <xdr:rowOff>0</xdr:rowOff>
    </xdr:from>
    <xdr:to>
      <xdr:col>14</xdr:col>
      <xdr:colOff>0</xdr:colOff>
      <xdr:row>296</xdr:row>
      <xdr:rowOff>123824</xdr:rowOff>
    </xdr:to>
    <xdr:pic>
      <xdr:nvPicPr>
        <xdr:cNvPr id="17" name="Picture 16" descr="logoMTL">
          <a:extLst>
            <a:ext uri="{FF2B5EF4-FFF2-40B4-BE49-F238E27FC236}">
              <a16:creationId xmlns:a16="http://schemas.microsoft.com/office/drawing/2014/main" xmlns="" id="{433BAA3E-38AA-44D7-8582-D85793859D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797950"/>
          <a:ext cx="838200"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 name="Picture 1" descr="C:\WINDOWS\TEMP\Symbol.gif">
          <a:extLst>
            <a:ext uri="{FF2B5EF4-FFF2-40B4-BE49-F238E27FC236}">
              <a16:creationId xmlns:a16="http://schemas.microsoft.com/office/drawing/2014/main" xmlns="" id="{8733FF7A-6FC9-475D-96B7-3587DDDDE39A}"/>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113</xdr:row>
      <xdr:rowOff>161925</xdr:rowOff>
    </xdr:from>
    <xdr:to>
      <xdr:col>1</xdr:col>
      <xdr:colOff>28575</xdr:colOff>
      <xdr:row>114</xdr:row>
      <xdr:rowOff>200025</xdr:rowOff>
    </xdr:to>
    <xdr:pic>
      <xdr:nvPicPr>
        <xdr:cNvPr id="3" name="Picture 2" descr="C:\WINDOWS\TEMP\Symbol.gif">
          <a:extLst>
            <a:ext uri="{FF2B5EF4-FFF2-40B4-BE49-F238E27FC236}">
              <a16:creationId xmlns:a16="http://schemas.microsoft.com/office/drawing/2014/main" xmlns="" id="{98091498-EF39-43B9-9F01-DEFD43E29DE3}"/>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3317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 name="Picture 3" descr="C:\WINDOWS\TEMP\Symbol.gif">
          <a:extLst>
            <a:ext uri="{FF2B5EF4-FFF2-40B4-BE49-F238E27FC236}">
              <a16:creationId xmlns:a16="http://schemas.microsoft.com/office/drawing/2014/main" xmlns="" id="{DEEBC96E-C73E-4253-A595-F26665230B4E}"/>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814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295</xdr:row>
      <xdr:rowOff>161925</xdr:rowOff>
    </xdr:from>
    <xdr:to>
      <xdr:col>1</xdr:col>
      <xdr:colOff>19050</xdr:colOff>
      <xdr:row>296</xdr:row>
      <xdr:rowOff>200025</xdr:rowOff>
    </xdr:to>
    <xdr:pic>
      <xdr:nvPicPr>
        <xdr:cNvPr id="5" name="Picture 4" descr="C:\WINDOWS\TEMP\Symbol.gif">
          <a:extLst>
            <a:ext uri="{FF2B5EF4-FFF2-40B4-BE49-F238E27FC236}">
              <a16:creationId xmlns:a16="http://schemas.microsoft.com/office/drawing/2014/main" xmlns="" id="{B2B7FDDD-85C2-4F94-A4FD-B8654CB7120E}"/>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99598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295</xdr:row>
      <xdr:rowOff>123825</xdr:rowOff>
    </xdr:from>
    <xdr:to>
      <xdr:col>14</xdr:col>
      <xdr:colOff>1895475</xdr:colOff>
      <xdr:row>296</xdr:row>
      <xdr:rowOff>152400</xdr:rowOff>
    </xdr:to>
    <xdr:pic>
      <xdr:nvPicPr>
        <xdr:cNvPr id="6" name="Picture 5" descr="C:\WINDOWS\TEMP\~0003946.gif">
          <a:extLst>
            <a:ext uri="{FF2B5EF4-FFF2-40B4-BE49-F238E27FC236}">
              <a16:creationId xmlns:a16="http://schemas.microsoft.com/office/drawing/2014/main" xmlns="" id="{FDF2A41B-3408-4193-B72E-C7B3FA2564F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59921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19FFF706-9C10-4847-985E-F6B3D3C866B5}"/>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A4540242-EE9C-43FE-9D6C-B94E7F43E80F}"/>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E2108627-BEE0-4893-8AC0-8537BA214805}"/>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10" name="Picture 9" descr="C:\WINDOWS\TEMP\~0003946.gif">
          <a:extLst>
            <a:ext uri="{FF2B5EF4-FFF2-40B4-BE49-F238E27FC236}">
              <a16:creationId xmlns:a16="http://schemas.microsoft.com/office/drawing/2014/main" xmlns="" id="{88B19C6B-2FB7-496A-A64E-70A07212CEF2}"/>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113</xdr:row>
      <xdr:rowOff>123825</xdr:rowOff>
    </xdr:from>
    <xdr:to>
      <xdr:col>14</xdr:col>
      <xdr:colOff>895350</xdr:colOff>
      <xdr:row>114</xdr:row>
      <xdr:rowOff>152400</xdr:rowOff>
    </xdr:to>
    <xdr:pic>
      <xdr:nvPicPr>
        <xdr:cNvPr id="11" name="Picture 10" descr="C:\WINDOWS\TEMP\~0003946.gif">
          <a:extLst>
            <a:ext uri="{FF2B5EF4-FFF2-40B4-BE49-F238E27FC236}">
              <a16:creationId xmlns:a16="http://schemas.microsoft.com/office/drawing/2014/main" xmlns="" id="{BAAC39A0-DC50-4387-BF47-42542593AA1D}"/>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279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180</xdr:row>
      <xdr:rowOff>104775</xdr:rowOff>
    </xdr:from>
    <xdr:to>
      <xdr:col>14</xdr:col>
      <xdr:colOff>809625</xdr:colOff>
      <xdr:row>181</xdr:row>
      <xdr:rowOff>133350</xdr:rowOff>
    </xdr:to>
    <xdr:pic>
      <xdr:nvPicPr>
        <xdr:cNvPr id="12" name="Picture 11" descr="C:\WINDOWS\TEMP\~0003946.gif">
          <a:extLst>
            <a:ext uri="{FF2B5EF4-FFF2-40B4-BE49-F238E27FC236}">
              <a16:creationId xmlns:a16="http://schemas.microsoft.com/office/drawing/2014/main" xmlns="" id="{A6F4DC51-2A16-42E5-AC99-27950D624FD1}"/>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747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295</xdr:row>
      <xdr:rowOff>104775</xdr:rowOff>
    </xdr:from>
    <xdr:to>
      <xdr:col>14</xdr:col>
      <xdr:colOff>895350</xdr:colOff>
      <xdr:row>296</xdr:row>
      <xdr:rowOff>133350</xdr:rowOff>
    </xdr:to>
    <xdr:pic>
      <xdr:nvPicPr>
        <xdr:cNvPr id="13" name="Picture 12" descr="C:\WINDOWS\TEMP\~0003946.gif">
          <a:extLst>
            <a:ext uri="{FF2B5EF4-FFF2-40B4-BE49-F238E27FC236}">
              <a16:creationId xmlns:a16="http://schemas.microsoft.com/office/drawing/2014/main" xmlns="" id="{3344B25D-109D-4574-AF5B-5D15EC1D93D7}"/>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599027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14" name="Picture 13" descr="logoMTL">
          <a:extLst>
            <a:ext uri="{FF2B5EF4-FFF2-40B4-BE49-F238E27FC236}">
              <a16:creationId xmlns:a16="http://schemas.microsoft.com/office/drawing/2014/main" xmlns="" id="{F60B42CF-CEDA-4C2C-A72E-F2192E55F0E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113</xdr:row>
      <xdr:rowOff>38100</xdr:rowOff>
    </xdr:from>
    <xdr:to>
      <xdr:col>13</xdr:col>
      <xdr:colOff>1171575</xdr:colOff>
      <xdr:row>114</xdr:row>
      <xdr:rowOff>161925</xdr:rowOff>
    </xdr:to>
    <xdr:pic>
      <xdr:nvPicPr>
        <xdr:cNvPr id="15" name="Picture 14" descr="logoMTL">
          <a:extLst>
            <a:ext uri="{FF2B5EF4-FFF2-40B4-BE49-F238E27FC236}">
              <a16:creationId xmlns:a16="http://schemas.microsoft.com/office/drawing/2014/main" xmlns="" id="{0AFBBCEC-1447-4D46-B935-502660782B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1933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180</xdr:row>
      <xdr:rowOff>28575</xdr:rowOff>
    </xdr:from>
    <xdr:to>
      <xdr:col>13</xdr:col>
      <xdr:colOff>1171575</xdr:colOff>
      <xdr:row>181</xdr:row>
      <xdr:rowOff>152400</xdr:rowOff>
    </xdr:to>
    <xdr:pic>
      <xdr:nvPicPr>
        <xdr:cNvPr id="16" name="Picture 15" descr="logoMTL">
          <a:extLst>
            <a:ext uri="{FF2B5EF4-FFF2-40B4-BE49-F238E27FC236}">
              <a16:creationId xmlns:a16="http://schemas.microsoft.com/office/drawing/2014/main" xmlns="" id="{C5971D46-CF9D-4E98-ABAB-1C3C764991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671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295</xdr:row>
      <xdr:rowOff>0</xdr:rowOff>
    </xdr:from>
    <xdr:to>
      <xdr:col>14</xdr:col>
      <xdr:colOff>0</xdr:colOff>
      <xdr:row>296</xdr:row>
      <xdr:rowOff>123824</xdr:rowOff>
    </xdr:to>
    <xdr:pic>
      <xdr:nvPicPr>
        <xdr:cNvPr id="17" name="Picture 16" descr="logoMTL">
          <a:extLst>
            <a:ext uri="{FF2B5EF4-FFF2-40B4-BE49-F238E27FC236}">
              <a16:creationId xmlns:a16="http://schemas.microsoft.com/office/drawing/2014/main" xmlns="" id="{833E41C5-66A1-4C88-ABF2-D8E38BE5871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9797950"/>
          <a:ext cx="838200"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14</xdr:col>
      <xdr:colOff>1095375</xdr:colOff>
      <xdr:row>295</xdr:row>
      <xdr:rowOff>123825</xdr:rowOff>
    </xdr:from>
    <xdr:to>
      <xdr:col>14</xdr:col>
      <xdr:colOff>1895475</xdr:colOff>
      <xdr:row>296</xdr:row>
      <xdr:rowOff>152400</xdr:rowOff>
    </xdr:to>
    <xdr:pic>
      <xdr:nvPicPr>
        <xdr:cNvPr id="6" name="Picture 5" descr="C:\WINDOWS\TEMP\~0003946.gif">
          <a:extLst>
            <a:ext uri="{FF2B5EF4-FFF2-40B4-BE49-F238E27FC236}">
              <a16:creationId xmlns:a16="http://schemas.microsoft.com/office/drawing/2014/main" xmlns="" id="{546C8D4E-78BB-466C-8B52-5400010398D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59921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7" name="Picture 6" descr="C:\WINDOWS\TEMP\~0003946.gif">
          <a:extLst>
            <a:ext uri="{FF2B5EF4-FFF2-40B4-BE49-F238E27FC236}">
              <a16:creationId xmlns:a16="http://schemas.microsoft.com/office/drawing/2014/main" xmlns="" id="{29A6E443-D072-4C16-978B-2CFE7C9A225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3679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8" name="Picture 7" descr="C:\WINDOWS\TEMP\~0003946.gif">
          <a:extLst>
            <a:ext uri="{FF2B5EF4-FFF2-40B4-BE49-F238E27FC236}">
              <a16:creationId xmlns:a16="http://schemas.microsoft.com/office/drawing/2014/main" xmlns="" id="{5244710F-5FC1-43F5-B17A-C1625ACAFEE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2331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9" name="Picture 8" descr="C:\WINDOWS\TEMP\~0003946.gif">
          <a:extLst>
            <a:ext uri="{FF2B5EF4-FFF2-40B4-BE49-F238E27FC236}">
              <a16:creationId xmlns:a16="http://schemas.microsoft.com/office/drawing/2014/main" xmlns="" id="{7360884A-3A83-4580-AC82-480CC013956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295</xdr:row>
      <xdr:rowOff>23812</xdr:rowOff>
    </xdr:from>
    <xdr:to>
      <xdr:col>14</xdr:col>
      <xdr:colOff>883997</xdr:colOff>
      <xdr:row>296</xdr:row>
      <xdr:rowOff>120135</xdr:rowOff>
    </xdr:to>
    <xdr:pic>
      <xdr:nvPicPr>
        <xdr:cNvPr id="18" name="Picture 17">
          <a:extLst>
            <a:ext uri="{FF2B5EF4-FFF2-40B4-BE49-F238E27FC236}">
              <a16:creationId xmlns:a16="http://schemas.microsoft.com/office/drawing/2014/main" xmlns="" id="{EAA62BFA-F353-42BF-A5DC-62E602895850}"/>
            </a:ext>
          </a:extLst>
        </xdr:cNvPr>
        <xdr:cNvPicPr>
          <a:picLocks noChangeAspect="1"/>
        </xdr:cNvPicPr>
      </xdr:nvPicPr>
      <xdr:blipFill>
        <a:blip xmlns:r="http://schemas.openxmlformats.org/officeDocument/2006/relationships" r:embed="rId3"/>
        <a:stretch>
          <a:fillRect/>
        </a:stretch>
      </xdr:blipFill>
      <xdr:spPr>
        <a:xfrm>
          <a:off x="17002125" y="60519468"/>
          <a:ext cx="883997" cy="298730"/>
        </a:xfrm>
        <a:prstGeom prst="rect">
          <a:avLst/>
        </a:prstGeom>
      </xdr:spPr>
    </xdr:pic>
    <xdr:clientData/>
  </xdr:twoCellAnchor>
  <xdr:twoCellAnchor editAs="oneCell">
    <xdr:from>
      <xdr:col>13</xdr:col>
      <xdr:colOff>1250156</xdr:colOff>
      <xdr:row>180</xdr:row>
      <xdr:rowOff>59531</xdr:rowOff>
    </xdr:from>
    <xdr:to>
      <xdr:col>14</xdr:col>
      <xdr:colOff>872091</xdr:colOff>
      <xdr:row>181</xdr:row>
      <xdr:rowOff>155855</xdr:rowOff>
    </xdr:to>
    <xdr:pic>
      <xdr:nvPicPr>
        <xdr:cNvPr id="19" name="Picture 18">
          <a:extLst>
            <a:ext uri="{FF2B5EF4-FFF2-40B4-BE49-F238E27FC236}">
              <a16:creationId xmlns:a16="http://schemas.microsoft.com/office/drawing/2014/main" xmlns="" id="{F7972912-8CCA-4702-9AF3-236B4D407B6F}"/>
            </a:ext>
          </a:extLst>
        </xdr:cNvPr>
        <xdr:cNvPicPr>
          <a:picLocks noChangeAspect="1"/>
        </xdr:cNvPicPr>
      </xdr:nvPicPr>
      <xdr:blipFill>
        <a:blip xmlns:r="http://schemas.openxmlformats.org/officeDocument/2006/relationships" r:embed="rId3"/>
        <a:stretch>
          <a:fillRect/>
        </a:stretch>
      </xdr:blipFill>
      <xdr:spPr>
        <a:xfrm>
          <a:off x="16990219" y="37135594"/>
          <a:ext cx="883997" cy="298730"/>
        </a:xfrm>
        <a:prstGeom prst="rect">
          <a:avLst/>
        </a:prstGeom>
      </xdr:spPr>
    </xdr:pic>
    <xdr:clientData/>
  </xdr:twoCellAnchor>
  <xdr:twoCellAnchor editAs="oneCell">
    <xdr:from>
      <xdr:col>14</xdr:col>
      <xdr:colOff>11906</xdr:colOff>
      <xdr:row>113</xdr:row>
      <xdr:rowOff>59531</xdr:rowOff>
    </xdr:from>
    <xdr:to>
      <xdr:col>14</xdr:col>
      <xdr:colOff>895903</xdr:colOff>
      <xdr:row>114</xdr:row>
      <xdr:rowOff>155855</xdr:rowOff>
    </xdr:to>
    <xdr:pic>
      <xdr:nvPicPr>
        <xdr:cNvPr id="20" name="Picture 19">
          <a:extLst>
            <a:ext uri="{FF2B5EF4-FFF2-40B4-BE49-F238E27FC236}">
              <a16:creationId xmlns:a16="http://schemas.microsoft.com/office/drawing/2014/main" xmlns="" id="{19491E14-7285-42CA-9ABC-386581EC0887}"/>
            </a:ext>
          </a:extLst>
        </xdr:cNvPr>
        <xdr:cNvPicPr>
          <a:picLocks noChangeAspect="1"/>
        </xdr:cNvPicPr>
      </xdr:nvPicPr>
      <xdr:blipFill>
        <a:blip xmlns:r="http://schemas.openxmlformats.org/officeDocument/2006/relationships" r:embed="rId3"/>
        <a:stretch>
          <a:fillRect/>
        </a:stretch>
      </xdr:blipFill>
      <xdr:spPr>
        <a:xfrm>
          <a:off x="17014031" y="23479125"/>
          <a:ext cx="883997" cy="298730"/>
        </a:xfrm>
        <a:prstGeom prst="rect">
          <a:avLst/>
        </a:prstGeom>
      </xdr:spPr>
    </xdr:pic>
    <xdr:clientData/>
  </xdr:twoCellAnchor>
  <xdr:twoCellAnchor editAs="oneCell">
    <xdr:from>
      <xdr:col>13</xdr:col>
      <xdr:colOff>1178719</xdr:colOff>
      <xdr:row>50</xdr:row>
      <xdr:rowOff>83343</xdr:rowOff>
    </xdr:from>
    <xdr:to>
      <xdr:col>14</xdr:col>
      <xdr:colOff>800654</xdr:colOff>
      <xdr:row>51</xdr:row>
      <xdr:rowOff>179667</xdr:rowOff>
    </xdr:to>
    <xdr:pic>
      <xdr:nvPicPr>
        <xdr:cNvPr id="21" name="Picture 20">
          <a:extLst>
            <a:ext uri="{FF2B5EF4-FFF2-40B4-BE49-F238E27FC236}">
              <a16:creationId xmlns:a16="http://schemas.microsoft.com/office/drawing/2014/main" xmlns="" id="{DA1EF77D-04FC-4657-8E80-C0A7D6FEAC89}"/>
            </a:ext>
          </a:extLst>
        </xdr:cNvPr>
        <xdr:cNvPicPr>
          <a:picLocks noChangeAspect="1"/>
        </xdr:cNvPicPr>
      </xdr:nvPicPr>
      <xdr:blipFill>
        <a:blip xmlns:r="http://schemas.openxmlformats.org/officeDocument/2006/relationships" r:embed="rId3"/>
        <a:stretch>
          <a:fillRect/>
        </a:stretch>
      </xdr:blipFill>
      <xdr:spPr>
        <a:xfrm>
          <a:off x="16918782" y="10310812"/>
          <a:ext cx="883997" cy="298730"/>
        </a:xfrm>
        <a:prstGeom prst="rect">
          <a:avLst/>
        </a:prstGeom>
      </xdr:spPr>
    </xdr:pic>
    <xdr:clientData/>
  </xdr:twoCellAnchor>
  <xdr:twoCellAnchor editAs="oneCell">
    <xdr:from>
      <xdr:col>0</xdr:col>
      <xdr:colOff>190500</xdr:colOff>
      <xdr:row>50</xdr:row>
      <xdr:rowOff>119062</xdr:rowOff>
    </xdr:from>
    <xdr:to>
      <xdr:col>1</xdr:col>
      <xdr:colOff>15922</xdr:colOff>
      <xdr:row>51</xdr:row>
      <xdr:rowOff>142228</xdr:rowOff>
    </xdr:to>
    <xdr:pic>
      <xdr:nvPicPr>
        <xdr:cNvPr id="22" name="Picture 21">
          <a:extLst>
            <a:ext uri="{FF2B5EF4-FFF2-40B4-BE49-F238E27FC236}">
              <a16:creationId xmlns:a16="http://schemas.microsoft.com/office/drawing/2014/main" xmlns="" id="{612F86F0-F655-4847-8526-B6F5BA1E5ED5}"/>
            </a:ext>
          </a:extLst>
        </xdr:cNvPr>
        <xdr:cNvPicPr>
          <a:picLocks noChangeAspect="1"/>
        </xdr:cNvPicPr>
      </xdr:nvPicPr>
      <xdr:blipFill>
        <a:blip xmlns:r="http://schemas.openxmlformats.org/officeDocument/2006/relationships" r:embed="rId4"/>
        <a:stretch>
          <a:fillRect/>
        </a:stretch>
      </xdr:blipFill>
      <xdr:spPr>
        <a:xfrm>
          <a:off x="190500" y="10346531"/>
          <a:ext cx="170703" cy="225572"/>
        </a:xfrm>
        <a:prstGeom prst="rect">
          <a:avLst/>
        </a:prstGeom>
      </xdr:spPr>
    </xdr:pic>
    <xdr:clientData/>
  </xdr:twoCellAnchor>
  <xdr:twoCellAnchor editAs="oneCell">
    <xdr:from>
      <xdr:col>0</xdr:col>
      <xdr:colOff>178594</xdr:colOff>
      <xdr:row>113</xdr:row>
      <xdr:rowOff>130969</xdr:rowOff>
    </xdr:from>
    <xdr:to>
      <xdr:col>1</xdr:col>
      <xdr:colOff>4016</xdr:colOff>
      <xdr:row>114</xdr:row>
      <xdr:rowOff>154135</xdr:rowOff>
    </xdr:to>
    <xdr:pic>
      <xdr:nvPicPr>
        <xdr:cNvPr id="23" name="Picture 22">
          <a:extLst>
            <a:ext uri="{FF2B5EF4-FFF2-40B4-BE49-F238E27FC236}">
              <a16:creationId xmlns:a16="http://schemas.microsoft.com/office/drawing/2014/main" xmlns="" id="{FC7C687D-272D-4172-A4BF-D4E3BC5BF34B}"/>
            </a:ext>
          </a:extLst>
        </xdr:cNvPr>
        <xdr:cNvPicPr>
          <a:picLocks noChangeAspect="1"/>
        </xdr:cNvPicPr>
      </xdr:nvPicPr>
      <xdr:blipFill>
        <a:blip xmlns:r="http://schemas.openxmlformats.org/officeDocument/2006/relationships" r:embed="rId4"/>
        <a:stretch>
          <a:fillRect/>
        </a:stretch>
      </xdr:blipFill>
      <xdr:spPr>
        <a:xfrm>
          <a:off x="178594" y="23550563"/>
          <a:ext cx="170703" cy="225572"/>
        </a:xfrm>
        <a:prstGeom prst="rect">
          <a:avLst/>
        </a:prstGeom>
      </xdr:spPr>
    </xdr:pic>
    <xdr:clientData/>
  </xdr:twoCellAnchor>
  <xdr:twoCellAnchor editAs="oneCell">
    <xdr:from>
      <xdr:col>0</xdr:col>
      <xdr:colOff>190500</xdr:colOff>
      <xdr:row>180</xdr:row>
      <xdr:rowOff>142875</xdr:rowOff>
    </xdr:from>
    <xdr:to>
      <xdr:col>1</xdr:col>
      <xdr:colOff>15922</xdr:colOff>
      <xdr:row>181</xdr:row>
      <xdr:rowOff>166041</xdr:rowOff>
    </xdr:to>
    <xdr:pic>
      <xdr:nvPicPr>
        <xdr:cNvPr id="24" name="Picture 23">
          <a:extLst>
            <a:ext uri="{FF2B5EF4-FFF2-40B4-BE49-F238E27FC236}">
              <a16:creationId xmlns:a16="http://schemas.microsoft.com/office/drawing/2014/main" xmlns="" id="{C24AF976-6877-4BFC-AA62-65EFE4B6666D}"/>
            </a:ext>
          </a:extLst>
        </xdr:cNvPr>
        <xdr:cNvPicPr>
          <a:picLocks noChangeAspect="1"/>
        </xdr:cNvPicPr>
      </xdr:nvPicPr>
      <xdr:blipFill>
        <a:blip xmlns:r="http://schemas.openxmlformats.org/officeDocument/2006/relationships" r:embed="rId4"/>
        <a:stretch>
          <a:fillRect/>
        </a:stretch>
      </xdr:blipFill>
      <xdr:spPr>
        <a:xfrm>
          <a:off x="190500" y="37218938"/>
          <a:ext cx="170703" cy="225572"/>
        </a:xfrm>
        <a:prstGeom prst="rect">
          <a:avLst/>
        </a:prstGeom>
      </xdr:spPr>
    </xdr:pic>
    <xdr:clientData/>
  </xdr:twoCellAnchor>
  <xdr:twoCellAnchor editAs="oneCell">
    <xdr:from>
      <xdr:col>0</xdr:col>
      <xdr:colOff>190500</xdr:colOff>
      <xdr:row>295</xdr:row>
      <xdr:rowOff>107157</xdr:rowOff>
    </xdr:from>
    <xdr:to>
      <xdr:col>1</xdr:col>
      <xdr:colOff>15922</xdr:colOff>
      <xdr:row>296</xdr:row>
      <xdr:rowOff>130322</xdr:rowOff>
    </xdr:to>
    <xdr:pic>
      <xdr:nvPicPr>
        <xdr:cNvPr id="25" name="Picture 24">
          <a:extLst>
            <a:ext uri="{FF2B5EF4-FFF2-40B4-BE49-F238E27FC236}">
              <a16:creationId xmlns:a16="http://schemas.microsoft.com/office/drawing/2014/main" xmlns="" id="{CCC45BD5-E61D-4884-B9FE-AB6340FD88EB}"/>
            </a:ext>
          </a:extLst>
        </xdr:cNvPr>
        <xdr:cNvPicPr>
          <a:picLocks noChangeAspect="1"/>
        </xdr:cNvPicPr>
      </xdr:nvPicPr>
      <xdr:blipFill>
        <a:blip xmlns:r="http://schemas.openxmlformats.org/officeDocument/2006/relationships" r:embed="rId4"/>
        <a:stretch>
          <a:fillRect/>
        </a:stretch>
      </xdr:blipFill>
      <xdr:spPr>
        <a:xfrm>
          <a:off x="190500" y="60602813"/>
          <a:ext cx="170703" cy="22557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14</xdr:col>
      <xdr:colOff>1095375</xdr:colOff>
      <xdr:row>295</xdr:row>
      <xdr:rowOff>123825</xdr:rowOff>
    </xdr:from>
    <xdr:to>
      <xdr:col>14</xdr:col>
      <xdr:colOff>1895475</xdr:colOff>
      <xdr:row>296</xdr:row>
      <xdr:rowOff>152400</xdr:rowOff>
    </xdr:to>
    <xdr:pic>
      <xdr:nvPicPr>
        <xdr:cNvPr id="2" name="Picture 1" descr="C:\WINDOWS\TEMP\~0003946.gif">
          <a:extLst>
            <a:ext uri="{FF2B5EF4-FFF2-40B4-BE49-F238E27FC236}">
              <a16:creationId xmlns:a16="http://schemas.microsoft.com/office/drawing/2014/main" xmlns="" id="{B452A571-A743-4B3C-A605-5B16F88291C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59931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3" name="Picture 2" descr="C:\WINDOWS\TEMP\~0003946.gif">
          <a:extLst>
            <a:ext uri="{FF2B5EF4-FFF2-40B4-BE49-F238E27FC236}">
              <a16:creationId xmlns:a16="http://schemas.microsoft.com/office/drawing/2014/main" xmlns="" id="{8FB2CAEE-AED1-4B68-A841-F67241829A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36804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 name="Picture 3" descr="C:\WINDOWS\TEMP\~0003946.gif">
          <a:extLst>
            <a:ext uri="{FF2B5EF4-FFF2-40B4-BE49-F238E27FC236}">
              <a16:creationId xmlns:a16="http://schemas.microsoft.com/office/drawing/2014/main" xmlns="" id="{9B73D9F7-BE17-4BC7-8B6C-E50A5EA63FF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23326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5" name="Picture 4" descr="C:\WINDOWS\TEMP\~0003946.gif">
          <a:extLst>
            <a:ext uri="{FF2B5EF4-FFF2-40B4-BE49-F238E27FC236}">
              <a16:creationId xmlns:a16="http://schemas.microsoft.com/office/drawing/2014/main" xmlns="" id="{49B5F5AA-A6EF-4277-946E-1B9E4FD7E5B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10277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295</xdr:row>
      <xdr:rowOff>23812</xdr:rowOff>
    </xdr:from>
    <xdr:to>
      <xdr:col>14</xdr:col>
      <xdr:colOff>883997</xdr:colOff>
      <xdr:row>296</xdr:row>
      <xdr:rowOff>120135</xdr:rowOff>
    </xdr:to>
    <xdr:pic>
      <xdr:nvPicPr>
        <xdr:cNvPr id="6" name="Picture 5">
          <a:extLst>
            <a:ext uri="{FF2B5EF4-FFF2-40B4-BE49-F238E27FC236}">
              <a16:creationId xmlns:a16="http://schemas.microsoft.com/office/drawing/2014/main" xmlns="" id="{511A3C52-EBD2-493F-8F08-4484CC69661E}"/>
            </a:ext>
          </a:extLst>
        </xdr:cNvPr>
        <xdr:cNvPicPr>
          <a:picLocks noChangeAspect="1"/>
        </xdr:cNvPicPr>
      </xdr:nvPicPr>
      <xdr:blipFill>
        <a:blip xmlns:r="http://schemas.openxmlformats.org/officeDocument/2006/relationships" r:embed="rId3"/>
        <a:stretch>
          <a:fillRect/>
        </a:stretch>
      </xdr:blipFill>
      <xdr:spPr>
        <a:xfrm>
          <a:off x="16992600" y="59831287"/>
          <a:ext cx="883997" cy="296348"/>
        </a:xfrm>
        <a:prstGeom prst="rect">
          <a:avLst/>
        </a:prstGeom>
      </xdr:spPr>
    </xdr:pic>
    <xdr:clientData/>
  </xdr:twoCellAnchor>
  <xdr:twoCellAnchor editAs="oneCell">
    <xdr:from>
      <xdr:col>13</xdr:col>
      <xdr:colOff>1250156</xdr:colOff>
      <xdr:row>180</xdr:row>
      <xdr:rowOff>59531</xdr:rowOff>
    </xdr:from>
    <xdr:to>
      <xdr:col>14</xdr:col>
      <xdr:colOff>872091</xdr:colOff>
      <xdr:row>181</xdr:row>
      <xdr:rowOff>155855</xdr:rowOff>
    </xdr:to>
    <xdr:pic>
      <xdr:nvPicPr>
        <xdr:cNvPr id="7" name="Picture 6">
          <a:extLst>
            <a:ext uri="{FF2B5EF4-FFF2-40B4-BE49-F238E27FC236}">
              <a16:creationId xmlns:a16="http://schemas.microsoft.com/office/drawing/2014/main" xmlns="" id="{B5F96E90-F957-43EF-AAB6-09C137BAFCBE}"/>
            </a:ext>
          </a:extLst>
        </xdr:cNvPr>
        <xdr:cNvPicPr>
          <a:picLocks noChangeAspect="1"/>
        </xdr:cNvPicPr>
      </xdr:nvPicPr>
      <xdr:blipFill>
        <a:blip xmlns:r="http://schemas.openxmlformats.org/officeDocument/2006/relationships" r:embed="rId3"/>
        <a:stretch>
          <a:fillRect/>
        </a:stretch>
      </xdr:blipFill>
      <xdr:spPr>
        <a:xfrm>
          <a:off x="16985456" y="36711731"/>
          <a:ext cx="879235" cy="296349"/>
        </a:xfrm>
        <a:prstGeom prst="rect">
          <a:avLst/>
        </a:prstGeom>
      </xdr:spPr>
    </xdr:pic>
    <xdr:clientData/>
  </xdr:twoCellAnchor>
  <xdr:twoCellAnchor editAs="oneCell">
    <xdr:from>
      <xdr:col>14</xdr:col>
      <xdr:colOff>11906</xdr:colOff>
      <xdr:row>113</xdr:row>
      <xdr:rowOff>59531</xdr:rowOff>
    </xdr:from>
    <xdr:to>
      <xdr:col>14</xdr:col>
      <xdr:colOff>895903</xdr:colOff>
      <xdr:row>114</xdr:row>
      <xdr:rowOff>155855</xdr:rowOff>
    </xdr:to>
    <xdr:pic>
      <xdr:nvPicPr>
        <xdr:cNvPr id="8" name="Picture 7">
          <a:extLst>
            <a:ext uri="{FF2B5EF4-FFF2-40B4-BE49-F238E27FC236}">
              <a16:creationId xmlns:a16="http://schemas.microsoft.com/office/drawing/2014/main" xmlns="" id="{9E2BCDEF-2633-4DE9-85E3-E688CFD72CFE}"/>
            </a:ext>
          </a:extLst>
        </xdr:cNvPr>
        <xdr:cNvPicPr>
          <a:picLocks noChangeAspect="1"/>
        </xdr:cNvPicPr>
      </xdr:nvPicPr>
      <xdr:blipFill>
        <a:blip xmlns:r="http://schemas.openxmlformats.org/officeDocument/2006/relationships" r:embed="rId3"/>
        <a:stretch>
          <a:fillRect/>
        </a:stretch>
      </xdr:blipFill>
      <xdr:spPr>
        <a:xfrm>
          <a:off x="17004506" y="23224331"/>
          <a:ext cx="883997" cy="296349"/>
        </a:xfrm>
        <a:prstGeom prst="rect">
          <a:avLst/>
        </a:prstGeom>
      </xdr:spPr>
    </xdr:pic>
    <xdr:clientData/>
  </xdr:twoCellAnchor>
  <xdr:twoCellAnchor editAs="oneCell">
    <xdr:from>
      <xdr:col>13</xdr:col>
      <xdr:colOff>1178719</xdr:colOff>
      <xdr:row>50</xdr:row>
      <xdr:rowOff>83343</xdr:rowOff>
    </xdr:from>
    <xdr:to>
      <xdr:col>14</xdr:col>
      <xdr:colOff>800654</xdr:colOff>
      <xdr:row>51</xdr:row>
      <xdr:rowOff>179667</xdr:rowOff>
    </xdr:to>
    <xdr:pic>
      <xdr:nvPicPr>
        <xdr:cNvPr id="9" name="Picture 8">
          <a:extLst>
            <a:ext uri="{FF2B5EF4-FFF2-40B4-BE49-F238E27FC236}">
              <a16:creationId xmlns:a16="http://schemas.microsoft.com/office/drawing/2014/main" xmlns="" id="{275113A2-BBB5-4AC4-89AB-A55F13F93C05}"/>
            </a:ext>
          </a:extLst>
        </xdr:cNvPr>
        <xdr:cNvPicPr>
          <a:picLocks noChangeAspect="1"/>
        </xdr:cNvPicPr>
      </xdr:nvPicPr>
      <xdr:blipFill>
        <a:blip xmlns:r="http://schemas.openxmlformats.org/officeDocument/2006/relationships" r:embed="rId3"/>
        <a:stretch>
          <a:fillRect/>
        </a:stretch>
      </xdr:blipFill>
      <xdr:spPr>
        <a:xfrm>
          <a:off x="16914019" y="10198893"/>
          <a:ext cx="879235" cy="296349"/>
        </a:xfrm>
        <a:prstGeom prst="rect">
          <a:avLst/>
        </a:prstGeom>
      </xdr:spPr>
    </xdr:pic>
    <xdr:clientData/>
  </xdr:twoCellAnchor>
  <xdr:twoCellAnchor editAs="oneCell">
    <xdr:from>
      <xdr:col>0</xdr:col>
      <xdr:colOff>190500</xdr:colOff>
      <xdr:row>50</xdr:row>
      <xdr:rowOff>119062</xdr:rowOff>
    </xdr:from>
    <xdr:to>
      <xdr:col>1</xdr:col>
      <xdr:colOff>15922</xdr:colOff>
      <xdr:row>51</xdr:row>
      <xdr:rowOff>142228</xdr:rowOff>
    </xdr:to>
    <xdr:pic>
      <xdr:nvPicPr>
        <xdr:cNvPr id="10" name="Picture 9">
          <a:extLst>
            <a:ext uri="{FF2B5EF4-FFF2-40B4-BE49-F238E27FC236}">
              <a16:creationId xmlns:a16="http://schemas.microsoft.com/office/drawing/2014/main" xmlns="" id="{68BF4CAB-D022-452C-BB87-C19DEC2AFE95}"/>
            </a:ext>
          </a:extLst>
        </xdr:cNvPr>
        <xdr:cNvPicPr>
          <a:picLocks noChangeAspect="1"/>
        </xdr:cNvPicPr>
      </xdr:nvPicPr>
      <xdr:blipFill>
        <a:blip xmlns:r="http://schemas.openxmlformats.org/officeDocument/2006/relationships" r:embed="rId4"/>
        <a:stretch>
          <a:fillRect/>
        </a:stretch>
      </xdr:blipFill>
      <xdr:spPr>
        <a:xfrm>
          <a:off x="190500" y="10234612"/>
          <a:ext cx="168322" cy="223191"/>
        </a:xfrm>
        <a:prstGeom prst="rect">
          <a:avLst/>
        </a:prstGeom>
      </xdr:spPr>
    </xdr:pic>
    <xdr:clientData/>
  </xdr:twoCellAnchor>
  <xdr:twoCellAnchor editAs="oneCell">
    <xdr:from>
      <xdr:col>0</xdr:col>
      <xdr:colOff>178594</xdr:colOff>
      <xdr:row>113</xdr:row>
      <xdr:rowOff>130969</xdr:rowOff>
    </xdr:from>
    <xdr:to>
      <xdr:col>1</xdr:col>
      <xdr:colOff>4016</xdr:colOff>
      <xdr:row>114</xdr:row>
      <xdr:rowOff>154135</xdr:rowOff>
    </xdr:to>
    <xdr:pic>
      <xdr:nvPicPr>
        <xdr:cNvPr id="11" name="Picture 10">
          <a:extLst>
            <a:ext uri="{FF2B5EF4-FFF2-40B4-BE49-F238E27FC236}">
              <a16:creationId xmlns:a16="http://schemas.microsoft.com/office/drawing/2014/main" xmlns="" id="{A74CE7AD-E9CA-4794-A758-2CF83D5A70AA}"/>
            </a:ext>
          </a:extLst>
        </xdr:cNvPr>
        <xdr:cNvPicPr>
          <a:picLocks noChangeAspect="1"/>
        </xdr:cNvPicPr>
      </xdr:nvPicPr>
      <xdr:blipFill>
        <a:blip xmlns:r="http://schemas.openxmlformats.org/officeDocument/2006/relationships" r:embed="rId4"/>
        <a:stretch>
          <a:fillRect/>
        </a:stretch>
      </xdr:blipFill>
      <xdr:spPr>
        <a:xfrm>
          <a:off x="178594" y="23295769"/>
          <a:ext cx="168322" cy="223191"/>
        </a:xfrm>
        <a:prstGeom prst="rect">
          <a:avLst/>
        </a:prstGeom>
      </xdr:spPr>
    </xdr:pic>
    <xdr:clientData/>
  </xdr:twoCellAnchor>
  <xdr:twoCellAnchor editAs="oneCell">
    <xdr:from>
      <xdr:col>0</xdr:col>
      <xdr:colOff>190500</xdr:colOff>
      <xdr:row>180</xdr:row>
      <xdr:rowOff>142875</xdr:rowOff>
    </xdr:from>
    <xdr:to>
      <xdr:col>1</xdr:col>
      <xdr:colOff>15922</xdr:colOff>
      <xdr:row>181</xdr:row>
      <xdr:rowOff>166041</xdr:rowOff>
    </xdr:to>
    <xdr:pic>
      <xdr:nvPicPr>
        <xdr:cNvPr id="12" name="Picture 11">
          <a:extLst>
            <a:ext uri="{FF2B5EF4-FFF2-40B4-BE49-F238E27FC236}">
              <a16:creationId xmlns:a16="http://schemas.microsoft.com/office/drawing/2014/main" xmlns="" id="{6488E4B7-9BA4-4C84-A5F3-4FEAC6BA0557}"/>
            </a:ext>
          </a:extLst>
        </xdr:cNvPr>
        <xdr:cNvPicPr>
          <a:picLocks noChangeAspect="1"/>
        </xdr:cNvPicPr>
      </xdr:nvPicPr>
      <xdr:blipFill>
        <a:blip xmlns:r="http://schemas.openxmlformats.org/officeDocument/2006/relationships" r:embed="rId4"/>
        <a:stretch>
          <a:fillRect/>
        </a:stretch>
      </xdr:blipFill>
      <xdr:spPr>
        <a:xfrm>
          <a:off x="190500" y="36795075"/>
          <a:ext cx="168322" cy="223191"/>
        </a:xfrm>
        <a:prstGeom prst="rect">
          <a:avLst/>
        </a:prstGeom>
      </xdr:spPr>
    </xdr:pic>
    <xdr:clientData/>
  </xdr:twoCellAnchor>
  <xdr:twoCellAnchor editAs="oneCell">
    <xdr:from>
      <xdr:col>0</xdr:col>
      <xdr:colOff>190500</xdr:colOff>
      <xdr:row>295</xdr:row>
      <xdr:rowOff>107157</xdr:rowOff>
    </xdr:from>
    <xdr:to>
      <xdr:col>1</xdr:col>
      <xdr:colOff>15922</xdr:colOff>
      <xdr:row>296</xdr:row>
      <xdr:rowOff>130322</xdr:rowOff>
    </xdr:to>
    <xdr:pic>
      <xdr:nvPicPr>
        <xdr:cNvPr id="13" name="Picture 12">
          <a:extLst>
            <a:ext uri="{FF2B5EF4-FFF2-40B4-BE49-F238E27FC236}">
              <a16:creationId xmlns:a16="http://schemas.microsoft.com/office/drawing/2014/main" xmlns="" id="{EA330BFC-66F3-4778-811D-E0DBB52F3357}"/>
            </a:ext>
          </a:extLst>
        </xdr:cNvPr>
        <xdr:cNvPicPr>
          <a:picLocks noChangeAspect="1"/>
        </xdr:cNvPicPr>
      </xdr:nvPicPr>
      <xdr:blipFill>
        <a:blip xmlns:r="http://schemas.openxmlformats.org/officeDocument/2006/relationships" r:embed="rId4"/>
        <a:stretch>
          <a:fillRect/>
        </a:stretch>
      </xdr:blipFill>
      <xdr:spPr>
        <a:xfrm>
          <a:off x="190500" y="59914632"/>
          <a:ext cx="168322" cy="22319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1095375</xdr:colOff>
      <xdr:row>295</xdr:row>
      <xdr:rowOff>123825</xdr:rowOff>
    </xdr:from>
    <xdr:to>
      <xdr:col>14</xdr:col>
      <xdr:colOff>1895475</xdr:colOff>
      <xdr:row>296</xdr:row>
      <xdr:rowOff>152400</xdr:rowOff>
    </xdr:to>
    <xdr:pic>
      <xdr:nvPicPr>
        <xdr:cNvPr id="2" name="Picture 1" descr="C:\WINDOWS\TEMP\~0003946.gif">
          <a:extLst>
            <a:ext uri="{FF2B5EF4-FFF2-40B4-BE49-F238E27FC236}">
              <a16:creationId xmlns:a16="http://schemas.microsoft.com/office/drawing/2014/main" xmlns="" id="{F602014E-E765-41F0-A844-84F2AF97FD0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59931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3" name="Picture 2" descr="C:\WINDOWS\TEMP\~0003946.gif">
          <a:extLst>
            <a:ext uri="{FF2B5EF4-FFF2-40B4-BE49-F238E27FC236}">
              <a16:creationId xmlns:a16="http://schemas.microsoft.com/office/drawing/2014/main" xmlns="" id="{CF9BA5E3-134E-4F12-8CE7-6ACBAB6D2FB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36804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 name="Picture 3" descr="C:\WINDOWS\TEMP\~0003946.gif">
          <a:extLst>
            <a:ext uri="{FF2B5EF4-FFF2-40B4-BE49-F238E27FC236}">
              <a16:creationId xmlns:a16="http://schemas.microsoft.com/office/drawing/2014/main" xmlns="" id="{9DD458FF-E86E-441F-BDCD-AFF42B41DA3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23326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5" name="Picture 4" descr="C:\WINDOWS\TEMP\~0003946.gif">
          <a:extLst>
            <a:ext uri="{FF2B5EF4-FFF2-40B4-BE49-F238E27FC236}">
              <a16:creationId xmlns:a16="http://schemas.microsoft.com/office/drawing/2014/main" xmlns="" id="{4476A789-21F7-4263-A35D-C777828542F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10277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295</xdr:row>
      <xdr:rowOff>23812</xdr:rowOff>
    </xdr:from>
    <xdr:to>
      <xdr:col>14</xdr:col>
      <xdr:colOff>883997</xdr:colOff>
      <xdr:row>296</xdr:row>
      <xdr:rowOff>120135</xdr:rowOff>
    </xdr:to>
    <xdr:pic>
      <xdr:nvPicPr>
        <xdr:cNvPr id="6" name="Picture 5">
          <a:extLst>
            <a:ext uri="{FF2B5EF4-FFF2-40B4-BE49-F238E27FC236}">
              <a16:creationId xmlns:a16="http://schemas.microsoft.com/office/drawing/2014/main" xmlns="" id="{BE04D8E7-A822-4810-81F7-A9332D01181B}"/>
            </a:ext>
          </a:extLst>
        </xdr:cNvPr>
        <xdr:cNvPicPr>
          <a:picLocks noChangeAspect="1"/>
        </xdr:cNvPicPr>
      </xdr:nvPicPr>
      <xdr:blipFill>
        <a:blip xmlns:r="http://schemas.openxmlformats.org/officeDocument/2006/relationships" r:embed="rId3"/>
        <a:stretch>
          <a:fillRect/>
        </a:stretch>
      </xdr:blipFill>
      <xdr:spPr>
        <a:xfrm>
          <a:off x="16992600" y="59831287"/>
          <a:ext cx="883997" cy="296348"/>
        </a:xfrm>
        <a:prstGeom prst="rect">
          <a:avLst/>
        </a:prstGeom>
      </xdr:spPr>
    </xdr:pic>
    <xdr:clientData/>
  </xdr:twoCellAnchor>
  <xdr:twoCellAnchor editAs="oneCell">
    <xdr:from>
      <xdr:col>13</xdr:col>
      <xdr:colOff>1250156</xdr:colOff>
      <xdr:row>180</xdr:row>
      <xdr:rowOff>59531</xdr:rowOff>
    </xdr:from>
    <xdr:to>
      <xdr:col>14</xdr:col>
      <xdr:colOff>872091</xdr:colOff>
      <xdr:row>181</xdr:row>
      <xdr:rowOff>155855</xdr:rowOff>
    </xdr:to>
    <xdr:pic>
      <xdr:nvPicPr>
        <xdr:cNvPr id="7" name="Picture 6">
          <a:extLst>
            <a:ext uri="{FF2B5EF4-FFF2-40B4-BE49-F238E27FC236}">
              <a16:creationId xmlns:a16="http://schemas.microsoft.com/office/drawing/2014/main" xmlns="" id="{F2ABF982-C391-41FE-9B42-C660A33B239C}"/>
            </a:ext>
          </a:extLst>
        </xdr:cNvPr>
        <xdr:cNvPicPr>
          <a:picLocks noChangeAspect="1"/>
        </xdr:cNvPicPr>
      </xdr:nvPicPr>
      <xdr:blipFill>
        <a:blip xmlns:r="http://schemas.openxmlformats.org/officeDocument/2006/relationships" r:embed="rId3"/>
        <a:stretch>
          <a:fillRect/>
        </a:stretch>
      </xdr:blipFill>
      <xdr:spPr>
        <a:xfrm>
          <a:off x="16985456" y="36711731"/>
          <a:ext cx="879235" cy="296349"/>
        </a:xfrm>
        <a:prstGeom prst="rect">
          <a:avLst/>
        </a:prstGeom>
      </xdr:spPr>
    </xdr:pic>
    <xdr:clientData/>
  </xdr:twoCellAnchor>
  <xdr:twoCellAnchor editAs="oneCell">
    <xdr:from>
      <xdr:col>14</xdr:col>
      <xdr:colOff>11906</xdr:colOff>
      <xdr:row>113</xdr:row>
      <xdr:rowOff>59531</xdr:rowOff>
    </xdr:from>
    <xdr:to>
      <xdr:col>14</xdr:col>
      <xdr:colOff>895903</xdr:colOff>
      <xdr:row>114</xdr:row>
      <xdr:rowOff>155855</xdr:rowOff>
    </xdr:to>
    <xdr:pic>
      <xdr:nvPicPr>
        <xdr:cNvPr id="8" name="Picture 7">
          <a:extLst>
            <a:ext uri="{FF2B5EF4-FFF2-40B4-BE49-F238E27FC236}">
              <a16:creationId xmlns:a16="http://schemas.microsoft.com/office/drawing/2014/main" xmlns="" id="{85C8AD44-1362-4F7C-9C68-B9651EEADAEA}"/>
            </a:ext>
          </a:extLst>
        </xdr:cNvPr>
        <xdr:cNvPicPr>
          <a:picLocks noChangeAspect="1"/>
        </xdr:cNvPicPr>
      </xdr:nvPicPr>
      <xdr:blipFill>
        <a:blip xmlns:r="http://schemas.openxmlformats.org/officeDocument/2006/relationships" r:embed="rId3"/>
        <a:stretch>
          <a:fillRect/>
        </a:stretch>
      </xdr:blipFill>
      <xdr:spPr>
        <a:xfrm>
          <a:off x="17004506" y="23224331"/>
          <a:ext cx="883997" cy="296349"/>
        </a:xfrm>
        <a:prstGeom prst="rect">
          <a:avLst/>
        </a:prstGeom>
      </xdr:spPr>
    </xdr:pic>
    <xdr:clientData/>
  </xdr:twoCellAnchor>
  <xdr:twoCellAnchor editAs="oneCell">
    <xdr:from>
      <xdr:col>13</xdr:col>
      <xdr:colOff>1178719</xdr:colOff>
      <xdr:row>50</xdr:row>
      <xdr:rowOff>83343</xdr:rowOff>
    </xdr:from>
    <xdr:to>
      <xdr:col>14</xdr:col>
      <xdr:colOff>800654</xdr:colOff>
      <xdr:row>51</xdr:row>
      <xdr:rowOff>179667</xdr:rowOff>
    </xdr:to>
    <xdr:pic>
      <xdr:nvPicPr>
        <xdr:cNvPr id="9" name="Picture 8">
          <a:extLst>
            <a:ext uri="{FF2B5EF4-FFF2-40B4-BE49-F238E27FC236}">
              <a16:creationId xmlns:a16="http://schemas.microsoft.com/office/drawing/2014/main" xmlns="" id="{3113BEDB-215A-444A-8B87-4C69C47D21CE}"/>
            </a:ext>
          </a:extLst>
        </xdr:cNvPr>
        <xdr:cNvPicPr>
          <a:picLocks noChangeAspect="1"/>
        </xdr:cNvPicPr>
      </xdr:nvPicPr>
      <xdr:blipFill>
        <a:blip xmlns:r="http://schemas.openxmlformats.org/officeDocument/2006/relationships" r:embed="rId3"/>
        <a:stretch>
          <a:fillRect/>
        </a:stretch>
      </xdr:blipFill>
      <xdr:spPr>
        <a:xfrm>
          <a:off x="16914019" y="10198893"/>
          <a:ext cx="879235" cy="296349"/>
        </a:xfrm>
        <a:prstGeom prst="rect">
          <a:avLst/>
        </a:prstGeom>
      </xdr:spPr>
    </xdr:pic>
    <xdr:clientData/>
  </xdr:twoCellAnchor>
  <xdr:twoCellAnchor editAs="oneCell">
    <xdr:from>
      <xdr:col>0</xdr:col>
      <xdr:colOff>190500</xdr:colOff>
      <xdr:row>50</xdr:row>
      <xdr:rowOff>119062</xdr:rowOff>
    </xdr:from>
    <xdr:to>
      <xdr:col>1</xdr:col>
      <xdr:colOff>15922</xdr:colOff>
      <xdr:row>51</xdr:row>
      <xdr:rowOff>142228</xdr:rowOff>
    </xdr:to>
    <xdr:pic>
      <xdr:nvPicPr>
        <xdr:cNvPr id="10" name="Picture 9">
          <a:extLst>
            <a:ext uri="{FF2B5EF4-FFF2-40B4-BE49-F238E27FC236}">
              <a16:creationId xmlns:a16="http://schemas.microsoft.com/office/drawing/2014/main" xmlns="" id="{4AB042CC-AA0B-4852-A118-1C0A7F8FA7E1}"/>
            </a:ext>
          </a:extLst>
        </xdr:cNvPr>
        <xdr:cNvPicPr>
          <a:picLocks noChangeAspect="1"/>
        </xdr:cNvPicPr>
      </xdr:nvPicPr>
      <xdr:blipFill>
        <a:blip xmlns:r="http://schemas.openxmlformats.org/officeDocument/2006/relationships" r:embed="rId4"/>
        <a:stretch>
          <a:fillRect/>
        </a:stretch>
      </xdr:blipFill>
      <xdr:spPr>
        <a:xfrm>
          <a:off x="190500" y="10234612"/>
          <a:ext cx="168322" cy="223191"/>
        </a:xfrm>
        <a:prstGeom prst="rect">
          <a:avLst/>
        </a:prstGeom>
      </xdr:spPr>
    </xdr:pic>
    <xdr:clientData/>
  </xdr:twoCellAnchor>
  <xdr:twoCellAnchor editAs="oneCell">
    <xdr:from>
      <xdr:col>0</xdr:col>
      <xdr:colOff>178594</xdr:colOff>
      <xdr:row>113</xdr:row>
      <xdr:rowOff>130969</xdr:rowOff>
    </xdr:from>
    <xdr:to>
      <xdr:col>1</xdr:col>
      <xdr:colOff>4016</xdr:colOff>
      <xdr:row>114</xdr:row>
      <xdr:rowOff>154135</xdr:rowOff>
    </xdr:to>
    <xdr:pic>
      <xdr:nvPicPr>
        <xdr:cNvPr id="11" name="Picture 10">
          <a:extLst>
            <a:ext uri="{FF2B5EF4-FFF2-40B4-BE49-F238E27FC236}">
              <a16:creationId xmlns:a16="http://schemas.microsoft.com/office/drawing/2014/main" xmlns="" id="{21415923-96D7-438F-AC95-8A218FD49246}"/>
            </a:ext>
          </a:extLst>
        </xdr:cNvPr>
        <xdr:cNvPicPr>
          <a:picLocks noChangeAspect="1"/>
        </xdr:cNvPicPr>
      </xdr:nvPicPr>
      <xdr:blipFill>
        <a:blip xmlns:r="http://schemas.openxmlformats.org/officeDocument/2006/relationships" r:embed="rId4"/>
        <a:stretch>
          <a:fillRect/>
        </a:stretch>
      </xdr:blipFill>
      <xdr:spPr>
        <a:xfrm>
          <a:off x="178594" y="23295769"/>
          <a:ext cx="168322" cy="223191"/>
        </a:xfrm>
        <a:prstGeom prst="rect">
          <a:avLst/>
        </a:prstGeom>
      </xdr:spPr>
    </xdr:pic>
    <xdr:clientData/>
  </xdr:twoCellAnchor>
  <xdr:twoCellAnchor editAs="oneCell">
    <xdr:from>
      <xdr:col>0</xdr:col>
      <xdr:colOff>190500</xdr:colOff>
      <xdr:row>180</xdr:row>
      <xdr:rowOff>142875</xdr:rowOff>
    </xdr:from>
    <xdr:to>
      <xdr:col>1</xdr:col>
      <xdr:colOff>15922</xdr:colOff>
      <xdr:row>181</xdr:row>
      <xdr:rowOff>166041</xdr:rowOff>
    </xdr:to>
    <xdr:pic>
      <xdr:nvPicPr>
        <xdr:cNvPr id="12" name="Picture 11">
          <a:extLst>
            <a:ext uri="{FF2B5EF4-FFF2-40B4-BE49-F238E27FC236}">
              <a16:creationId xmlns:a16="http://schemas.microsoft.com/office/drawing/2014/main" xmlns="" id="{80E778D1-DF81-43A0-87DA-20D649C286A1}"/>
            </a:ext>
          </a:extLst>
        </xdr:cNvPr>
        <xdr:cNvPicPr>
          <a:picLocks noChangeAspect="1"/>
        </xdr:cNvPicPr>
      </xdr:nvPicPr>
      <xdr:blipFill>
        <a:blip xmlns:r="http://schemas.openxmlformats.org/officeDocument/2006/relationships" r:embed="rId4"/>
        <a:stretch>
          <a:fillRect/>
        </a:stretch>
      </xdr:blipFill>
      <xdr:spPr>
        <a:xfrm>
          <a:off x="190500" y="36795075"/>
          <a:ext cx="168322" cy="223191"/>
        </a:xfrm>
        <a:prstGeom prst="rect">
          <a:avLst/>
        </a:prstGeom>
      </xdr:spPr>
    </xdr:pic>
    <xdr:clientData/>
  </xdr:twoCellAnchor>
  <xdr:twoCellAnchor editAs="oneCell">
    <xdr:from>
      <xdr:col>0</xdr:col>
      <xdr:colOff>190500</xdr:colOff>
      <xdr:row>295</xdr:row>
      <xdr:rowOff>107157</xdr:rowOff>
    </xdr:from>
    <xdr:to>
      <xdr:col>1</xdr:col>
      <xdr:colOff>15922</xdr:colOff>
      <xdr:row>296</xdr:row>
      <xdr:rowOff>130322</xdr:rowOff>
    </xdr:to>
    <xdr:pic>
      <xdr:nvPicPr>
        <xdr:cNvPr id="13" name="Picture 12">
          <a:extLst>
            <a:ext uri="{FF2B5EF4-FFF2-40B4-BE49-F238E27FC236}">
              <a16:creationId xmlns:a16="http://schemas.microsoft.com/office/drawing/2014/main" xmlns="" id="{52BEA0CB-71AD-41A7-BF1D-5EA92908E84F}"/>
            </a:ext>
          </a:extLst>
        </xdr:cNvPr>
        <xdr:cNvPicPr>
          <a:picLocks noChangeAspect="1"/>
        </xdr:cNvPicPr>
      </xdr:nvPicPr>
      <xdr:blipFill>
        <a:blip xmlns:r="http://schemas.openxmlformats.org/officeDocument/2006/relationships" r:embed="rId4"/>
        <a:stretch>
          <a:fillRect/>
        </a:stretch>
      </xdr:blipFill>
      <xdr:spPr>
        <a:xfrm>
          <a:off x="190500" y="59914632"/>
          <a:ext cx="168322" cy="22319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14</xdr:col>
      <xdr:colOff>1095375</xdr:colOff>
      <xdr:row>295</xdr:row>
      <xdr:rowOff>123825</xdr:rowOff>
    </xdr:from>
    <xdr:to>
      <xdr:col>14</xdr:col>
      <xdr:colOff>1895475</xdr:colOff>
      <xdr:row>296</xdr:row>
      <xdr:rowOff>152400</xdr:rowOff>
    </xdr:to>
    <xdr:pic>
      <xdr:nvPicPr>
        <xdr:cNvPr id="2" name="Picture 1" descr="C:\WINDOWS\TEMP\~0003946.gif">
          <a:extLst>
            <a:ext uri="{FF2B5EF4-FFF2-40B4-BE49-F238E27FC236}">
              <a16:creationId xmlns:a16="http://schemas.microsoft.com/office/drawing/2014/main" xmlns="" id="{3E3FB809-A5AA-4058-ACB6-CAD636C3A87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59931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3" name="Picture 2" descr="C:\WINDOWS\TEMP\~0003946.gif">
          <a:extLst>
            <a:ext uri="{FF2B5EF4-FFF2-40B4-BE49-F238E27FC236}">
              <a16:creationId xmlns:a16="http://schemas.microsoft.com/office/drawing/2014/main" xmlns="" id="{81620074-2DD4-4312-A9EC-E1933161612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36804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 name="Picture 3" descr="C:\WINDOWS\TEMP\~0003946.gif">
          <a:extLst>
            <a:ext uri="{FF2B5EF4-FFF2-40B4-BE49-F238E27FC236}">
              <a16:creationId xmlns:a16="http://schemas.microsoft.com/office/drawing/2014/main" xmlns="" id="{D4DB7856-7730-4362-8A1D-2A8DC7E0ADC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23326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5" name="Picture 4" descr="C:\WINDOWS\TEMP\~0003946.gif">
          <a:extLst>
            <a:ext uri="{FF2B5EF4-FFF2-40B4-BE49-F238E27FC236}">
              <a16:creationId xmlns:a16="http://schemas.microsoft.com/office/drawing/2014/main" xmlns="" id="{76850ECA-2F76-4F21-A8BB-9479428B555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10277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295</xdr:row>
      <xdr:rowOff>23812</xdr:rowOff>
    </xdr:from>
    <xdr:to>
      <xdr:col>14</xdr:col>
      <xdr:colOff>883997</xdr:colOff>
      <xdr:row>296</xdr:row>
      <xdr:rowOff>120135</xdr:rowOff>
    </xdr:to>
    <xdr:pic>
      <xdr:nvPicPr>
        <xdr:cNvPr id="6" name="Picture 5">
          <a:extLst>
            <a:ext uri="{FF2B5EF4-FFF2-40B4-BE49-F238E27FC236}">
              <a16:creationId xmlns:a16="http://schemas.microsoft.com/office/drawing/2014/main" xmlns="" id="{A4F79FB2-EE19-4511-8896-72D82C895F4E}"/>
            </a:ext>
          </a:extLst>
        </xdr:cNvPr>
        <xdr:cNvPicPr>
          <a:picLocks noChangeAspect="1"/>
        </xdr:cNvPicPr>
      </xdr:nvPicPr>
      <xdr:blipFill>
        <a:blip xmlns:r="http://schemas.openxmlformats.org/officeDocument/2006/relationships" r:embed="rId3"/>
        <a:stretch>
          <a:fillRect/>
        </a:stretch>
      </xdr:blipFill>
      <xdr:spPr>
        <a:xfrm>
          <a:off x="16992600" y="59831287"/>
          <a:ext cx="883997" cy="296348"/>
        </a:xfrm>
        <a:prstGeom prst="rect">
          <a:avLst/>
        </a:prstGeom>
      </xdr:spPr>
    </xdr:pic>
    <xdr:clientData/>
  </xdr:twoCellAnchor>
  <xdr:twoCellAnchor editAs="oneCell">
    <xdr:from>
      <xdr:col>13</xdr:col>
      <xdr:colOff>1250156</xdr:colOff>
      <xdr:row>180</xdr:row>
      <xdr:rowOff>59531</xdr:rowOff>
    </xdr:from>
    <xdr:to>
      <xdr:col>14</xdr:col>
      <xdr:colOff>872091</xdr:colOff>
      <xdr:row>181</xdr:row>
      <xdr:rowOff>155855</xdr:rowOff>
    </xdr:to>
    <xdr:pic>
      <xdr:nvPicPr>
        <xdr:cNvPr id="7" name="Picture 6">
          <a:extLst>
            <a:ext uri="{FF2B5EF4-FFF2-40B4-BE49-F238E27FC236}">
              <a16:creationId xmlns:a16="http://schemas.microsoft.com/office/drawing/2014/main" xmlns="" id="{9BBD8B8D-4F4B-49F2-9BE6-13A275207F53}"/>
            </a:ext>
          </a:extLst>
        </xdr:cNvPr>
        <xdr:cNvPicPr>
          <a:picLocks noChangeAspect="1"/>
        </xdr:cNvPicPr>
      </xdr:nvPicPr>
      <xdr:blipFill>
        <a:blip xmlns:r="http://schemas.openxmlformats.org/officeDocument/2006/relationships" r:embed="rId3"/>
        <a:stretch>
          <a:fillRect/>
        </a:stretch>
      </xdr:blipFill>
      <xdr:spPr>
        <a:xfrm>
          <a:off x="16985456" y="36711731"/>
          <a:ext cx="879235" cy="296349"/>
        </a:xfrm>
        <a:prstGeom prst="rect">
          <a:avLst/>
        </a:prstGeom>
      </xdr:spPr>
    </xdr:pic>
    <xdr:clientData/>
  </xdr:twoCellAnchor>
  <xdr:twoCellAnchor editAs="oneCell">
    <xdr:from>
      <xdr:col>14</xdr:col>
      <xdr:colOff>11906</xdr:colOff>
      <xdr:row>113</xdr:row>
      <xdr:rowOff>59531</xdr:rowOff>
    </xdr:from>
    <xdr:to>
      <xdr:col>14</xdr:col>
      <xdr:colOff>895903</xdr:colOff>
      <xdr:row>114</xdr:row>
      <xdr:rowOff>155855</xdr:rowOff>
    </xdr:to>
    <xdr:pic>
      <xdr:nvPicPr>
        <xdr:cNvPr id="8" name="Picture 7">
          <a:extLst>
            <a:ext uri="{FF2B5EF4-FFF2-40B4-BE49-F238E27FC236}">
              <a16:creationId xmlns:a16="http://schemas.microsoft.com/office/drawing/2014/main" xmlns="" id="{B7058108-22FE-45A6-BE26-6BAFC8E3710D}"/>
            </a:ext>
          </a:extLst>
        </xdr:cNvPr>
        <xdr:cNvPicPr>
          <a:picLocks noChangeAspect="1"/>
        </xdr:cNvPicPr>
      </xdr:nvPicPr>
      <xdr:blipFill>
        <a:blip xmlns:r="http://schemas.openxmlformats.org/officeDocument/2006/relationships" r:embed="rId3"/>
        <a:stretch>
          <a:fillRect/>
        </a:stretch>
      </xdr:blipFill>
      <xdr:spPr>
        <a:xfrm>
          <a:off x="17004506" y="23224331"/>
          <a:ext cx="883997" cy="296349"/>
        </a:xfrm>
        <a:prstGeom prst="rect">
          <a:avLst/>
        </a:prstGeom>
      </xdr:spPr>
    </xdr:pic>
    <xdr:clientData/>
  </xdr:twoCellAnchor>
  <xdr:twoCellAnchor editAs="oneCell">
    <xdr:from>
      <xdr:col>13</xdr:col>
      <xdr:colOff>1178719</xdr:colOff>
      <xdr:row>50</xdr:row>
      <xdr:rowOff>83343</xdr:rowOff>
    </xdr:from>
    <xdr:to>
      <xdr:col>14</xdr:col>
      <xdr:colOff>800654</xdr:colOff>
      <xdr:row>51</xdr:row>
      <xdr:rowOff>179667</xdr:rowOff>
    </xdr:to>
    <xdr:pic>
      <xdr:nvPicPr>
        <xdr:cNvPr id="9" name="Picture 8">
          <a:extLst>
            <a:ext uri="{FF2B5EF4-FFF2-40B4-BE49-F238E27FC236}">
              <a16:creationId xmlns:a16="http://schemas.microsoft.com/office/drawing/2014/main" xmlns="" id="{66D1009D-C0DF-47C9-9427-46E1A57F0A3B}"/>
            </a:ext>
          </a:extLst>
        </xdr:cNvPr>
        <xdr:cNvPicPr>
          <a:picLocks noChangeAspect="1"/>
        </xdr:cNvPicPr>
      </xdr:nvPicPr>
      <xdr:blipFill>
        <a:blip xmlns:r="http://schemas.openxmlformats.org/officeDocument/2006/relationships" r:embed="rId3"/>
        <a:stretch>
          <a:fillRect/>
        </a:stretch>
      </xdr:blipFill>
      <xdr:spPr>
        <a:xfrm>
          <a:off x="16914019" y="10198893"/>
          <a:ext cx="879235" cy="296349"/>
        </a:xfrm>
        <a:prstGeom prst="rect">
          <a:avLst/>
        </a:prstGeom>
      </xdr:spPr>
    </xdr:pic>
    <xdr:clientData/>
  </xdr:twoCellAnchor>
  <xdr:twoCellAnchor editAs="oneCell">
    <xdr:from>
      <xdr:col>0</xdr:col>
      <xdr:colOff>190500</xdr:colOff>
      <xdr:row>50</xdr:row>
      <xdr:rowOff>119062</xdr:rowOff>
    </xdr:from>
    <xdr:to>
      <xdr:col>1</xdr:col>
      <xdr:colOff>15922</xdr:colOff>
      <xdr:row>51</xdr:row>
      <xdr:rowOff>142228</xdr:rowOff>
    </xdr:to>
    <xdr:pic>
      <xdr:nvPicPr>
        <xdr:cNvPr id="10" name="Picture 9">
          <a:extLst>
            <a:ext uri="{FF2B5EF4-FFF2-40B4-BE49-F238E27FC236}">
              <a16:creationId xmlns:a16="http://schemas.microsoft.com/office/drawing/2014/main" xmlns="" id="{DBAF89A0-41F1-48DC-9CCE-D612C7ABAA15}"/>
            </a:ext>
          </a:extLst>
        </xdr:cNvPr>
        <xdr:cNvPicPr>
          <a:picLocks noChangeAspect="1"/>
        </xdr:cNvPicPr>
      </xdr:nvPicPr>
      <xdr:blipFill>
        <a:blip xmlns:r="http://schemas.openxmlformats.org/officeDocument/2006/relationships" r:embed="rId4"/>
        <a:stretch>
          <a:fillRect/>
        </a:stretch>
      </xdr:blipFill>
      <xdr:spPr>
        <a:xfrm>
          <a:off x="190500" y="10234612"/>
          <a:ext cx="168322" cy="223191"/>
        </a:xfrm>
        <a:prstGeom prst="rect">
          <a:avLst/>
        </a:prstGeom>
      </xdr:spPr>
    </xdr:pic>
    <xdr:clientData/>
  </xdr:twoCellAnchor>
  <xdr:twoCellAnchor editAs="oneCell">
    <xdr:from>
      <xdr:col>0</xdr:col>
      <xdr:colOff>178594</xdr:colOff>
      <xdr:row>113</xdr:row>
      <xdr:rowOff>130969</xdr:rowOff>
    </xdr:from>
    <xdr:to>
      <xdr:col>1</xdr:col>
      <xdr:colOff>4016</xdr:colOff>
      <xdr:row>114</xdr:row>
      <xdr:rowOff>154135</xdr:rowOff>
    </xdr:to>
    <xdr:pic>
      <xdr:nvPicPr>
        <xdr:cNvPr id="11" name="Picture 10">
          <a:extLst>
            <a:ext uri="{FF2B5EF4-FFF2-40B4-BE49-F238E27FC236}">
              <a16:creationId xmlns:a16="http://schemas.microsoft.com/office/drawing/2014/main" xmlns="" id="{5E782245-4A34-40C5-AC7B-F95F4F1FEDFC}"/>
            </a:ext>
          </a:extLst>
        </xdr:cNvPr>
        <xdr:cNvPicPr>
          <a:picLocks noChangeAspect="1"/>
        </xdr:cNvPicPr>
      </xdr:nvPicPr>
      <xdr:blipFill>
        <a:blip xmlns:r="http://schemas.openxmlformats.org/officeDocument/2006/relationships" r:embed="rId4"/>
        <a:stretch>
          <a:fillRect/>
        </a:stretch>
      </xdr:blipFill>
      <xdr:spPr>
        <a:xfrm>
          <a:off x="178594" y="23295769"/>
          <a:ext cx="168322" cy="223191"/>
        </a:xfrm>
        <a:prstGeom prst="rect">
          <a:avLst/>
        </a:prstGeom>
      </xdr:spPr>
    </xdr:pic>
    <xdr:clientData/>
  </xdr:twoCellAnchor>
  <xdr:twoCellAnchor editAs="oneCell">
    <xdr:from>
      <xdr:col>0</xdr:col>
      <xdr:colOff>190500</xdr:colOff>
      <xdr:row>180</xdr:row>
      <xdr:rowOff>142875</xdr:rowOff>
    </xdr:from>
    <xdr:to>
      <xdr:col>1</xdr:col>
      <xdr:colOff>15922</xdr:colOff>
      <xdr:row>181</xdr:row>
      <xdr:rowOff>166041</xdr:rowOff>
    </xdr:to>
    <xdr:pic>
      <xdr:nvPicPr>
        <xdr:cNvPr id="12" name="Picture 11">
          <a:extLst>
            <a:ext uri="{FF2B5EF4-FFF2-40B4-BE49-F238E27FC236}">
              <a16:creationId xmlns:a16="http://schemas.microsoft.com/office/drawing/2014/main" xmlns="" id="{4A2D9D43-3941-4A9A-A401-D3545EDB7FA1}"/>
            </a:ext>
          </a:extLst>
        </xdr:cNvPr>
        <xdr:cNvPicPr>
          <a:picLocks noChangeAspect="1"/>
        </xdr:cNvPicPr>
      </xdr:nvPicPr>
      <xdr:blipFill>
        <a:blip xmlns:r="http://schemas.openxmlformats.org/officeDocument/2006/relationships" r:embed="rId4"/>
        <a:stretch>
          <a:fillRect/>
        </a:stretch>
      </xdr:blipFill>
      <xdr:spPr>
        <a:xfrm>
          <a:off x="190500" y="36795075"/>
          <a:ext cx="168322" cy="223191"/>
        </a:xfrm>
        <a:prstGeom prst="rect">
          <a:avLst/>
        </a:prstGeom>
      </xdr:spPr>
    </xdr:pic>
    <xdr:clientData/>
  </xdr:twoCellAnchor>
  <xdr:twoCellAnchor editAs="oneCell">
    <xdr:from>
      <xdr:col>0</xdr:col>
      <xdr:colOff>190500</xdr:colOff>
      <xdr:row>295</xdr:row>
      <xdr:rowOff>107157</xdr:rowOff>
    </xdr:from>
    <xdr:to>
      <xdr:col>1</xdr:col>
      <xdr:colOff>15922</xdr:colOff>
      <xdr:row>296</xdr:row>
      <xdr:rowOff>130322</xdr:rowOff>
    </xdr:to>
    <xdr:pic>
      <xdr:nvPicPr>
        <xdr:cNvPr id="13" name="Picture 12">
          <a:extLst>
            <a:ext uri="{FF2B5EF4-FFF2-40B4-BE49-F238E27FC236}">
              <a16:creationId xmlns:a16="http://schemas.microsoft.com/office/drawing/2014/main" xmlns="" id="{7B54D199-8864-4726-9040-D1D84C828C30}"/>
            </a:ext>
          </a:extLst>
        </xdr:cNvPr>
        <xdr:cNvPicPr>
          <a:picLocks noChangeAspect="1"/>
        </xdr:cNvPicPr>
      </xdr:nvPicPr>
      <xdr:blipFill>
        <a:blip xmlns:r="http://schemas.openxmlformats.org/officeDocument/2006/relationships" r:embed="rId4"/>
        <a:stretch>
          <a:fillRect/>
        </a:stretch>
      </xdr:blipFill>
      <xdr:spPr>
        <a:xfrm>
          <a:off x="190500" y="59914632"/>
          <a:ext cx="168322" cy="22319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14</xdr:col>
      <xdr:colOff>1095375</xdr:colOff>
      <xdr:row>295</xdr:row>
      <xdr:rowOff>123825</xdr:rowOff>
    </xdr:from>
    <xdr:to>
      <xdr:col>14</xdr:col>
      <xdr:colOff>1895475</xdr:colOff>
      <xdr:row>296</xdr:row>
      <xdr:rowOff>152400</xdr:rowOff>
    </xdr:to>
    <xdr:pic>
      <xdr:nvPicPr>
        <xdr:cNvPr id="2" name="Picture 1" descr="C:\WINDOWS\TEMP\~0003946.gif">
          <a:extLst>
            <a:ext uri="{FF2B5EF4-FFF2-40B4-BE49-F238E27FC236}">
              <a16:creationId xmlns:a16="http://schemas.microsoft.com/office/drawing/2014/main" xmlns="" id="{05A2B92F-6B00-4F90-A7E5-69F2918A1C2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59931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3" name="Picture 2" descr="C:\WINDOWS\TEMP\~0003946.gif">
          <a:extLst>
            <a:ext uri="{FF2B5EF4-FFF2-40B4-BE49-F238E27FC236}">
              <a16:creationId xmlns:a16="http://schemas.microsoft.com/office/drawing/2014/main" xmlns="" id="{7A653773-5BD5-479A-8E27-0BF2897BE03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36804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 name="Picture 3" descr="C:\WINDOWS\TEMP\~0003946.gif">
          <a:extLst>
            <a:ext uri="{FF2B5EF4-FFF2-40B4-BE49-F238E27FC236}">
              <a16:creationId xmlns:a16="http://schemas.microsoft.com/office/drawing/2014/main" xmlns="" id="{4D5382B5-6A7D-456C-9C08-60A21C83496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23326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5" name="Picture 4" descr="C:\WINDOWS\TEMP\~0003946.gif">
          <a:extLst>
            <a:ext uri="{FF2B5EF4-FFF2-40B4-BE49-F238E27FC236}">
              <a16:creationId xmlns:a16="http://schemas.microsoft.com/office/drawing/2014/main" xmlns="" id="{72EB4358-5825-465B-A05D-9B2A7B89F02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10277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295</xdr:row>
      <xdr:rowOff>23812</xdr:rowOff>
    </xdr:from>
    <xdr:to>
      <xdr:col>14</xdr:col>
      <xdr:colOff>883997</xdr:colOff>
      <xdr:row>296</xdr:row>
      <xdr:rowOff>120135</xdr:rowOff>
    </xdr:to>
    <xdr:pic>
      <xdr:nvPicPr>
        <xdr:cNvPr id="6" name="Picture 5">
          <a:extLst>
            <a:ext uri="{FF2B5EF4-FFF2-40B4-BE49-F238E27FC236}">
              <a16:creationId xmlns:a16="http://schemas.microsoft.com/office/drawing/2014/main" xmlns="" id="{0D1DD336-B91D-4FFB-91C1-52AE0A8347CB}"/>
            </a:ext>
          </a:extLst>
        </xdr:cNvPr>
        <xdr:cNvPicPr>
          <a:picLocks noChangeAspect="1"/>
        </xdr:cNvPicPr>
      </xdr:nvPicPr>
      <xdr:blipFill>
        <a:blip xmlns:r="http://schemas.openxmlformats.org/officeDocument/2006/relationships" r:embed="rId3"/>
        <a:stretch>
          <a:fillRect/>
        </a:stretch>
      </xdr:blipFill>
      <xdr:spPr>
        <a:xfrm>
          <a:off x="16992600" y="59831287"/>
          <a:ext cx="883997" cy="296348"/>
        </a:xfrm>
        <a:prstGeom prst="rect">
          <a:avLst/>
        </a:prstGeom>
      </xdr:spPr>
    </xdr:pic>
    <xdr:clientData/>
  </xdr:twoCellAnchor>
  <xdr:twoCellAnchor editAs="oneCell">
    <xdr:from>
      <xdr:col>13</xdr:col>
      <xdr:colOff>1250156</xdr:colOff>
      <xdr:row>180</xdr:row>
      <xdr:rowOff>59531</xdr:rowOff>
    </xdr:from>
    <xdr:to>
      <xdr:col>14</xdr:col>
      <xdr:colOff>872091</xdr:colOff>
      <xdr:row>181</xdr:row>
      <xdr:rowOff>155855</xdr:rowOff>
    </xdr:to>
    <xdr:pic>
      <xdr:nvPicPr>
        <xdr:cNvPr id="7" name="Picture 6">
          <a:extLst>
            <a:ext uri="{FF2B5EF4-FFF2-40B4-BE49-F238E27FC236}">
              <a16:creationId xmlns:a16="http://schemas.microsoft.com/office/drawing/2014/main" xmlns="" id="{370143DB-66AC-4286-AE2B-783C99F490DD}"/>
            </a:ext>
          </a:extLst>
        </xdr:cNvPr>
        <xdr:cNvPicPr>
          <a:picLocks noChangeAspect="1"/>
        </xdr:cNvPicPr>
      </xdr:nvPicPr>
      <xdr:blipFill>
        <a:blip xmlns:r="http://schemas.openxmlformats.org/officeDocument/2006/relationships" r:embed="rId3"/>
        <a:stretch>
          <a:fillRect/>
        </a:stretch>
      </xdr:blipFill>
      <xdr:spPr>
        <a:xfrm>
          <a:off x="16985456" y="36711731"/>
          <a:ext cx="879235" cy="296349"/>
        </a:xfrm>
        <a:prstGeom prst="rect">
          <a:avLst/>
        </a:prstGeom>
      </xdr:spPr>
    </xdr:pic>
    <xdr:clientData/>
  </xdr:twoCellAnchor>
  <xdr:twoCellAnchor editAs="oneCell">
    <xdr:from>
      <xdr:col>14</xdr:col>
      <xdr:colOff>11906</xdr:colOff>
      <xdr:row>113</xdr:row>
      <xdr:rowOff>59531</xdr:rowOff>
    </xdr:from>
    <xdr:to>
      <xdr:col>14</xdr:col>
      <xdr:colOff>895903</xdr:colOff>
      <xdr:row>114</xdr:row>
      <xdr:rowOff>155855</xdr:rowOff>
    </xdr:to>
    <xdr:pic>
      <xdr:nvPicPr>
        <xdr:cNvPr id="8" name="Picture 7">
          <a:extLst>
            <a:ext uri="{FF2B5EF4-FFF2-40B4-BE49-F238E27FC236}">
              <a16:creationId xmlns:a16="http://schemas.microsoft.com/office/drawing/2014/main" xmlns="" id="{1EABA39A-4790-4E4C-9B09-19BECD67E582}"/>
            </a:ext>
          </a:extLst>
        </xdr:cNvPr>
        <xdr:cNvPicPr>
          <a:picLocks noChangeAspect="1"/>
        </xdr:cNvPicPr>
      </xdr:nvPicPr>
      <xdr:blipFill>
        <a:blip xmlns:r="http://schemas.openxmlformats.org/officeDocument/2006/relationships" r:embed="rId3"/>
        <a:stretch>
          <a:fillRect/>
        </a:stretch>
      </xdr:blipFill>
      <xdr:spPr>
        <a:xfrm>
          <a:off x="17004506" y="23224331"/>
          <a:ext cx="883997" cy="296349"/>
        </a:xfrm>
        <a:prstGeom prst="rect">
          <a:avLst/>
        </a:prstGeom>
      </xdr:spPr>
    </xdr:pic>
    <xdr:clientData/>
  </xdr:twoCellAnchor>
  <xdr:twoCellAnchor editAs="oneCell">
    <xdr:from>
      <xdr:col>13</xdr:col>
      <xdr:colOff>1178719</xdr:colOff>
      <xdr:row>50</xdr:row>
      <xdr:rowOff>83343</xdr:rowOff>
    </xdr:from>
    <xdr:to>
      <xdr:col>14</xdr:col>
      <xdr:colOff>800654</xdr:colOff>
      <xdr:row>51</xdr:row>
      <xdr:rowOff>179667</xdr:rowOff>
    </xdr:to>
    <xdr:pic>
      <xdr:nvPicPr>
        <xdr:cNvPr id="9" name="Picture 8">
          <a:extLst>
            <a:ext uri="{FF2B5EF4-FFF2-40B4-BE49-F238E27FC236}">
              <a16:creationId xmlns:a16="http://schemas.microsoft.com/office/drawing/2014/main" xmlns="" id="{B123A4A4-6676-4087-8AC7-CBE5EB475929}"/>
            </a:ext>
          </a:extLst>
        </xdr:cNvPr>
        <xdr:cNvPicPr>
          <a:picLocks noChangeAspect="1"/>
        </xdr:cNvPicPr>
      </xdr:nvPicPr>
      <xdr:blipFill>
        <a:blip xmlns:r="http://schemas.openxmlformats.org/officeDocument/2006/relationships" r:embed="rId3"/>
        <a:stretch>
          <a:fillRect/>
        </a:stretch>
      </xdr:blipFill>
      <xdr:spPr>
        <a:xfrm>
          <a:off x="16914019" y="10198893"/>
          <a:ext cx="879235" cy="296349"/>
        </a:xfrm>
        <a:prstGeom prst="rect">
          <a:avLst/>
        </a:prstGeom>
      </xdr:spPr>
    </xdr:pic>
    <xdr:clientData/>
  </xdr:twoCellAnchor>
  <xdr:twoCellAnchor editAs="oneCell">
    <xdr:from>
      <xdr:col>0</xdr:col>
      <xdr:colOff>190500</xdr:colOff>
      <xdr:row>50</xdr:row>
      <xdr:rowOff>119062</xdr:rowOff>
    </xdr:from>
    <xdr:to>
      <xdr:col>1</xdr:col>
      <xdr:colOff>15922</xdr:colOff>
      <xdr:row>51</xdr:row>
      <xdr:rowOff>142228</xdr:rowOff>
    </xdr:to>
    <xdr:pic>
      <xdr:nvPicPr>
        <xdr:cNvPr id="10" name="Picture 9">
          <a:extLst>
            <a:ext uri="{FF2B5EF4-FFF2-40B4-BE49-F238E27FC236}">
              <a16:creationId xmlns:a16="http://schemas.microsoft.com/office/drawing/2014/main" xmlns="" id="{6F7ECC51-F436-4C23-9A33-01328413A3CE}"/>
            </a:ext>
          </a:extLst>
        </xdr:cNvPr>
        <xdr:cNvPicPr>
          <a:picLocks noChangeAspect="1"/>
        </xdr:cNvPicPr>
      </xdr:nvPicPr>
      <xdr:blipFill>
        <a:blip xmlns:r="http://schemas.openxmlformats.org/officeDocument/2006/relationships" r:embed="rId4"/>
        <a:stretch>
          <a:fillRect/>
        </a:stretch>
      </xdr:blipFill>
      <xdr:spPr>
        <a:xfrm>
          <a:off x="190500" y="10234612"/>
          <a:ext cx="168322" cy="223191"/>
        </a:xfrm>
        <a:prstGeom prst="rect">
          <a:avLst/>
        </a:prstGeom>
      </xdr:spPr>
    </xdr:pic>
    <xdr:clientData/>
  </xdr:twoCellAnchor>
  <xdr:twoCellAnchor editAs="oneCell">
    <xdr:from>
      <xdr:col>0</xdr:col>
      <xdr:colOff>178594</xdr:colOff>
      <xdr:row>113</xdr:row>
      <xdr:rowOff>130969</xdr:rowOff>
    </xdr:from>
    <xdr:to>
      <xdr:col>1</xdr:col>
      <xdr:colOff>4016</xdr:colOff>
      <xdr:row>114</xdr:row>
      <xdr:rowOff>154135</xdr:rowOff>
    </xdr:to>
    <xdr:pic>
      <xdr:nvPicPr>
        <xdr:cNvPr id="11" name="Picture 10">
          <a:extLst>
            <a:ext uri="{FF2B5EF4-FFF2-40B4-BE49-F238E27FC236}">
              <a16:creationId xmlns:a16="http://schemas.microsoft.com/office/drawing/2014/main" xmlns="" id="{90A1F0EF-9B0C-4635-8A89-3BE3CE0FA92A}"/>
            </a:ext>
          </a:extLst>
        </xdr:cNvPr>
        <xdr:cNvPicPr>
          <a:picLocks noChangeAspect="1"/>
        </xdr:cNvPicPr>
      </xdr:nvPicPr>
      <xdr:blipFill>
        <a:blip xmlns:r="http://schemas.openxmlformats.org/officeDocument/2006/relationships" r:embed="rId4"/>
        <a:stretch>
          <a:fillRect/>
        </a:stretch>
      </xdr:blipFill>
      <xdr:spPr>
        <a:xfrm>
          <a:off x="178594" y="23295769"/>
          <a:ext cx="168322" cy="223191"/>
        </a:xfrm>
        <a:prstGeom prst="rect">
          <a:avLst/>
        </a:prstGeom>
      </xdr:spPr>
    </xdr:pic>
    <xdr:clientData/>
  </xdr:twoCellAnchor>
  <xdr:twoCellAnchor editAs="oneCell">
    <xdr:from>
      <xdr:col>0</xdr:col>
      <xdr:colOff>190500</xdr:colOff>
      <xdr:row>180</xdr:row>
      <xdr:rowOff>142875</xdr:rowOff>
    </xdr:from>
    <xdr:to>
      <xdr:col>1</xdr:col>
      <xdr:colOff>15922</xdr:colOff>
      <xdr:row>181</xdr:row>
      <xdr:rowOff>166041</xdr:rowOff>
    </xdr:to>
    <xdr:pic>
      <xdr:nvPicPr>
        <xdr:cNvPr id="12" name="Picture 11">
          <a:extLst>
            <a:ext uri="{FF2B5EF4-FFF2-40B4-BE49-F238E27FC236}">
              <a16:creationId xmlns:a16="http://schemas.microsoft.com/office/drawing/2014/main" xmlns="" id="{843EA84D-87F9-4E54-9D36-86AF1A7BD422}"/>
            </a:ext>
          </a:extLst>
        </xdr:cNvPr>
        <xdr:cNvPicPr>
          <a:picLocks noChangeAspect="1"/>
        </xdr:cNvPicPr>
      </xdr:nvPicPr>
      <xdr:blipFill>
        <a:blip xmlns:r="http://schemas.openxmlformats.org/officeDocument/2006/relationships" r:embed="rId4"/>
        <a:stretch>
          <a:fillRect/>
        </a:stretch>
      </xdr:blipFill>
      <xdr:spPr>
        <a:xfrm>
          <a:off x="190500" y="36795075"/>
          <a:ext cx="168322" cy="223191"/>
        </a:xfrm>
        <a:prstGeom prst="rect">
          <a:avLst/>
        </a:prstGeom>
      </xdr:spPr>
    </xdr:pic>
    <xdr:clientData/>
  </xdr:twoCellAnchor>
  <xdr:twoCellAnchor editAs="oneCell">
    <xdr:from>
      <xdr:col>0</xdr:col>
      <xdr:colOff>190500</xdr:colOff>
      <xdr:row>295</xdr:row>
      <xdr:rowOff>107157</xdr:rowOff>
    </xdr:from>
    <xdr:to>
      <xdr:col>1</xdr:col>
      <xdr:colOff>15922</xdr:colOff>
      <xdr:row>296</xdr:row>
      <xdr:rowOff>130322</xdr:rowOff>
    </xdr:to>
    <xdr:pic>
      <xdr:nvPicPr>
        <xdr:cNvPr id="13" name="Picture 12">
          <a:extLst>
            <a:ext uri="{FF2B5EF4-FFF2-40B4-BE49-F238E27FC236}">
              <a16:creationId xmlns:a16="http://schemas.microsoft.com/office/drawing/2014/main" xmlns="" id="{D79127CE-65C2-49B2-9E65-8DB6522B7A54}"/>
            </a:ext>
          </a:extLst>
        </xdr:cNvPr>
        <xdr:cNvPicPr>
          <a:picLocks noChangeAspect="1"/>
        </xdr:cNvPicPr>
      </xdr:nvPicPr>
      <xdr:blipFill>
        <a:blip xmlns:r="http://schemas.openxmlformats.org/officeDocument/2006/relationships" r:embed="rId4"/>
        <a:stretch>
          <a:fillRect/>
        </a:stretch>
      </xdr:blipFill>
      <xdr:spPr>
        <a:xfrm>
          <a:off x="190500" y="59914632"/>
          <a:ext cx="168322" cy="22319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14</xdr:col>
      <xdr:colOff>1095375</xdr:colOff>
      <xdr:row>295</xdr:row>
      <xdr:rowOff>123825</xdr:rowOff>
    </xdr:from>
    <xdr:to>
      <xdr:col>14</xdr:col>
      <xdr:colOff>1895475</xdr:colOff>
      <xdr:row>296</xdr:row>
      <xdr:rowOff>152400</xdr:rowOff>
    </xdr:to>
    <xdr:pic>
      <xdr:nvPicPr>
        <xdr:cNvPr id="2" name="Picture 1" descr="C:\WINDOWS\TEMP\~0003946.gif">
          <a:extLst>
            <a:ext uri="{FF2B5EF4-FFF2-40B4-BE49-F238E27FC236}">
              <a16:creationId xmlns:a16="http://schemas.microsoft.com/office/drawing/2014/main" xmlns="" id="{6C037B14-C830-4385-BBBF-492FEDDA0B5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59931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180</xdr:row>
      <xdr:rowOff>152400</xdr:rowOff>
    </xdr:from>
    <xdr:to>
      <xdr:col>14</xdr:col>
      <xdr:colOff>1924050</xdr:colOff>
      <xdr:row>181</xdr:row>
      <xdr:rowOff>180975</xdr:rowOff>
    </xdr:to>
    <xdr:pic>
      <xdr:nvPicPr>
        <xdr:cNvPr id="3" name="Picture 2" descr="C:\WINDOWS\TEMP\~0003946.gif">
          <a:extLst>
            <a:ext uri="{FF2B5EF4-FFF2-40B4-BE49-F238E27FC236}">
              <a16:creationId xmlns:a16="http://schemas.microsoft.com/office/drawing/2014/main" xmlns="" id="{183F20DE-7AF4-4CF3-B8C7-9D7D2497BDF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36804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113</xdr:row>
      <xdr:rowOff>161925</xdr:rowOff>
    </xdr:from>
    <xdr:to>
      <xdr:col>14</xdr:col>
      <xdr:colOff>1952625</xdr:colOff>
      <xdr:row>114</xdr:row>
      <xdr:rowOff>190500</xdr:rowOff>
    </xdr:to>
    <xdr:pic>
      <xdr:nvPicPr>
        <xdr:cNvPr id="4" name="Picture 3" descr="C:\WINDOWS\TEMP\~0003946.gif">
          <a:extLst>
            <a:ext uri="{FF2B5EF4-FFF2-40B4-BE49-F238E27FC236}">
              <a16:creationId xmlns:a16="http://schemas.microsoft.com/office/drawing/2014/main" xmlns="" id="{42BDD627-A02E-4BBA-A150-C0B054BF5E7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23326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5" name="Picture 4" descr="C:\WINDOWS\TEMP\~0003946.gif">
          <a:extLst>
            <a:ext uri="{FF2B5EF4-FFF2-40B4-BE49-F238E27FC236}">
              <a16:creationId xmlns:a16="http://schemas.microsoft.com/office/drawing/2014/main" xmlns="" id="{E94E7E3F-1184-4605-9B7E-A26FCD865CB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10277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295</xdr:row>
      <xdr:rowOff>23812</xdr:rowOff>
    </xdr:from>
    <xdr:to>
      <xdr:col>14</xdr:col>
      <xdr:colOff>883997</xdr:colOff>
      <xdr:row>296</xdr:row>
      <xdr:rowOff>120135</xdr:rowOff>
    </xdr:to>
    <xdr:pic>
      <xdr:nvPicPr>
        <xdr:cNvPr id="6" name="Picture 5">
          <a:extLst>
            <a:ext uri="{FF2B5EF4-FFF2-40B4-BE49-F238E27FC236}">
              <a16:creationId xmlns:a16="http://schemas.microsoft.com/office/drawing/2014/main" xmlns="" id="{413E575A-0B81-4263-BA52-678C0983B1D2}"/>
            </a:ext>
          </a:extLst>
        </xdr:cNvPr>
        <xdr:cNvPicPr>
          <a:picLocks noChangeAspect="1"/>
        </xdr:cNvPicPr>
      </xdr:nvPicPr>
      <xdr:blipFill>
        <a:blip xmlns:r="http://schemas.openxmlformats.org/officeDocument/2006/relationships" r:embed="rId3"/>
        <a:stretch>
          <a:fillRect/>
        </a:stretch>
      </xdr:blipFill>
      <xdr:spPr>
        <a:xfrm>
          <a:off x="16992600" y="59831287"/>
          <a:ext cx="883997" cy="296348"/>
        </a:xfrm>
        <a:prstGeom prst="rect">
          <a:avLst/>
        </a:prstGeom>
      </xdr:spPr>
    </xdr:pic>
    <xdr:clientData/>
  </xdr:twoCellAnchor>
  <xdr:twoCellAnchor editAs="oneCell">
    <xdr:from>
      <xdr:col>13</xdr:col>
      <xdr:colOff>1250156</xdr:colOff>
      <xdr:row>180</xdr:row>
      <xdr:rowOff>59531</xdr:rowOff>
    </xdr:from>
    <xdr:to>
      <xdr:col>14</xdr:col>
      <xdr:colOff>872091</xdr:colOff>
      <xdr:row>181</xdr:row>
      <xdr:rowOff>155855</xdr:rowOff>
    </xdr:to>
    <xdr:pic>
      <xdr:nvPicPr>
        <xdr:cNvPr id="7" name="Picture 6">
          <a:extLst>
            <a:ext uri="{FF2B5EF4-FFF2-40B4-BE49-F238E27FC236}">
              <a16:creationId xmlns:a16="http://schemas.microsoft.com/office/drawing/2014/main" xmlns="" id="{5F78F10F-95A7-4C61-9296-1A83A1DB85DE}"/>
            </a:ext>
          </a:extLst>
        </xdr:cNvPr>
        <xdr:cNvPicPr>
          <a:picLocks noChangeAspect="1"/>
        </xdr:cNvPicPr>
      </xdr:nvPicPr>
      <xdr:blipFill>
        <a:blip xmlns:r="http://schemas.openxmlformats.org/officeDocument/2006/relationships" r:embed="rId3"/>
        <a:stretch>
          <a:fillRect/>
        </a:stretch>
      </xdr:blipFill>
      <xdr:spPr>
        <a:xfrm>
          <a:off x="16985456" y="36711731"/>
          <a:ext cx="879235" cy="296349"/>
        </a:xfrm>
        <a:prstGeom prst="rect">
          <a:avLst/>
        </a:prstGeom>
      </xdr:spPr>
    </xdr:pic>
    <xdr:clientData/>
  </xdr:twoCellAnchor>
  <xdr:twoCellAnchor editAs="oneCell">
    <xdr:from>
      <xdr:col>14</xdr:col>
      <xdr:colOff>11906</xdr:colOff>
      <xdr:row>113</xdr:row>
      <xdr:rowOff>59531</xdr:rowOff>
    </xdr:from>
    <xdr:to>
      <xdr:col>14</xdr:col>
      <xdr:colOff>895903</xdr:colOff>
      <xdr:row>114</xdr:row>
      <xdr:rowOff>155855</xdr:rowOff>
    </xdr:to>
    <xdr:pic>
      <xdr:nvPicPr>
        <xdr:cNvPr id="8" name="Picture 7">
          <a:extLst>
            <a:ext uri="{FF2B5EF4-FFF2-40B4-BE49-F238E27FC236}">
              <a16:creationId xmlns:a16="http://schemas.microsoft.com/office/drawing/2014/main" xmlns="" id="{173A9432-BB02-4121-8F72-DF563956E43B}"/>
            </a:ext>
          </a:extLst>
        </xdr:cNvPr>
        <xdr:cNvPicPr>
          <a:picLocks noChangeAspect="1"/>
        </xdr:cNvPicPr>
      </xdr:nvPicPr>
      <xdr:blipFill>
        <a:blip xmlns:r="http://schemas.openxmlformats.org/officeDocument/2006/relationships" r:embed="rId3"/>
        <a:stretch>
          <a:fillRect/>
        </a:stretch>
      </xdr:blipFill>
      <xdr:spPr>
        <a:xfrm>
          <a:off x="17004506" y="23224331"/>
          <a:ext cx="883997" cy="296349"/>
        </a:xfrm>
        <a:prstGeom prst="rect">
          <a:avLst/>
        </a:prstGeom>
      </xdr:spPr>
    </xdr:pic>
    <xdr:clientData/>
  </xdr:twoCellAnchor>
  <xdr:twoCellAnchor editAs="oneCell">
    <xdr:from>
      <xdr:col>13</xdr:col>
      <xdr:colOff>1178719</xdr:colOff>
      <xdr:row>50</xdr:row>
      <xdr:rowOff>83343</xdr:rowOff>
    </xdr:from>
    <xdr:to>
      <xdr:col>14</xdr:col>
      <xdr:colOff>800654</xdr:colOff>
      <xdr:row>51</xdr:row>
      <xdr:rowOff>179667</xdr:rowOff>
    </xdr:to>
    <xdr:pic>
      <xdr:nvPicPr>
        <xdr:cNvPr id="9" name="Picture 8">
          <a:extLst>
            <a:ext uri="{FF2B5EF4-FFF2-40B4-BE49-F238E27FC236}">
              <a16:creationId xmlns:a16="http://schemas.microsoft.com/office/drawing/2014/main" xmlns="" id="{12D6F474-47E6-45AC-8571-DC13BFD21609}"/>
            </a:ext>
          </a:extLst>
        </xdr:cNvPr>
        <xdr:cNvPicPr>
          <a:picLocks noChangeAspect="1"/>
        </xdr:cNvPicPr>
      </xdr:nvPicPr>
      <xdr:blipFill>
        <a:blip xmlns:r="http://schemas.openxmlformats.org/officeDocument/2006/relationships" r:embed="rId3"/>
        <a:stretch>
          <a:fillRect/>
        </a:stretch>
      </xdr:blipFill>
      <xdr:spPr>
        <a:xfrm>
          <a:off x="16914019" y="10198893"/>
          <a:ext cx="879235" cy="296349"/>
        </a:xfrm>
        <a:prstGeom prst="rect">
          <a:avLst/>
        </a:prstGeom>
      </xdr:spPr>
    </xdr:pic>
    <xdr:clientData/>
  </xdr:twoCellAnchor>
  <xdr:twoCellAnchor editAs="oneCell">
    <xdr:from>
      <xdr:col>0</xdr:col>
      <xdr:colOff>190500</xdr:colOff>
      <xdr:row>50</xdr:row>
      <xdr:rowOff>119062</xdr:rowOff>
    </xdr:from>
    <xdr:to>
      <xdr:col>1</xdr:col>
      <xdr:colOff>15922</xdr:colOff>
      <xdr:row>51</xdr:row>
      <xdr:rowOff>142228</xdr:rowOff>
    </xdr:to>
    <xdr:pic>
      <xdr:nvPicPr>
        <xdr:cNvPr id="10" name="Picture 9">
          <a:extLst>
            <a:ext uri="{FF2B5EF4-FFF2-40B4-BE49-F238E27FC236}">
              <a16:creationId xmlns:a16="http://schemas.microsoft.com/office/drawing/2014/main" xmlns="" id="{A5C66A5B-CE2A-49BF-8424-9DE29D3B27CC}"/>
            </a:ext>
          </a:extLst>
        </xdr:cNvPr>
        <xdr:cNvPicPr>
          <a:picLocks noChangeAspect="1"/>
        </xdr:cNvPicPr>
      </xdr:nvPicPr>
      <xdr:blipFill>
        <a:blip xmlns:r="http://schemas.openxmlformats.org/officeDocument/2006/relationships" r:embed="rId4"/>
        <a:stretch>
          <a:fillRect/>
        </a:stretch>
      </xdr:blipFill>
      <xdr:spPr>
        <a:xfrm>
          <a:off x="190500" y="10234612"/>
          <a:ext cx="168322" cy="223191"/>
        </a:xfrm>
        <a:prstGeom prst="rect">
          <a:avLst/>
        </a:prstGeom>
      </xdr:spPr>
    </xdr:pic>
    <xdr:clientData/>
  </xdr:twoCellAnchor>
  <xdr:twoCellAnchor editAs="oneCell">
    <xdr:from>
      <xdr:col>0</xdr:col>
      <xdr:colOff>178594</xdr:colOff>
      <xdr:row>113</xdr:row>
      <xdr:rowOff>130969</xdr:rowOff>
    </xdr:from>
    <xdr:to>
      <xdr:col>1</xdr:col>
      <xdr:colOff>4016</xdr:colOff>
      <xdr:row>114</xdr:row>
      <xdr:rowOff>154135</xdr:rowOff>
    </xdr:to>
    <xdr:pic>
      <xdr:nvPicPr>
        <xdr:cNvPr id="11" name="Picture 10">
          <a:extLst>
            <a:ext uri="{FF2B5EF4-FFF2-40B4-BE49-F238E27FC236}">
              <a16:creationId xmlns:a16="http://schemas.microsoft.com/office/drawing/2014/main" xmlns="" id="{7E3D84BE-50EF-46AF-8A45-32C27CC0EB63}"/>
            </a:ext>
          </a:extLst>
        </xdr:cNvPr>
        <xdr:cNvPicPr>
          <a:picLocks noChangeAspect="1"/>
        </xdr:cNvPicPr>
      </xdr:nvPicPr>
      <xdr:blipFill>
        <a:blip xmlns:r="http://schemas.openxmlformats.org/officeDocument/2006/relationships" r:embed="rId4"/>
        <a:stretch>
          <a:fillRect/>
        </a:stretch>
      </xdr:blipFill>
      <xdr:spPr>
        <a:xfrm>
          <a:off x="178594" y="23295769"/>
          <a:ext cx="168322" cy="223191"/>
        </a:xfrm>
        <a:prstGeom prst="rect">
          <a:avLst/>
        </a:prstGeom>
      </xdr:spPr>
    </xdr:pic>
    <xdr:clientData/>
  </xdr:twoCellAnchor>
  <xdr:twoCellAnchor editAs="oneCell">
    <xdr:from>
      <xdr:col>0</xdr:col>
      <xdr:colOff>190500</xdr:colOff>
      <xdr:row>180</xdr:row>
      <xdr:rowOff>142875</xdr:rowOff>
    </xdr:from>
    <xdr:to>
      <xdr:col>1</xdr:col>
      <xdr:colOff>15922</xdr:colOff>
      <xdr:row>181</xdr:row>
      <xdr:rowOff>166041</xdr:rowOff>
    </xdr:to>
    <xdr:pic>
      <xdr:nvPicPr>
        <xdr:cNvPr id="12" name="Picture 11">
          <a:extLst>
            <a:ext uri="{FF2B5EF4-FFF2-40B4-BE49-F238E27FC236}">
              <a16:creationId xmlns:a16="http://schemas.microsoft.com/office/drawing/2014/main" xmlns="" id="{76B69B79-43D3-4976-9585-F8B8F3D1BA2E}"/>
            </a:ext>
          </a:extLst>
        </xdr:cNvPr>
        <xdr:cNvPicPr>
          <a:picLocks noChangeAspect="1"/>
        </xdr:cNvPicPr>
      </xdr:nvPicPr>
      <xdr:blipFill>
        <a:blip xmlns:r="http://schemas.openxmlformats.org/officeDocument/2006/relationships" r:embed="rId4"/>
        <a:stretch>
          <a:fillRect/>
        </a:stretch>
      </xdr:blipFill>
      <xdr:spPr>
        <a:xfrm>
          <a:off x="190500" y="36795075"/>
          <a:ext cx="168322" cy="223191"/>
        </a:xfrm>
        <a:prstGeom prst="rect">
          <a:avLst/>
        </a:prstGeom>
      </xdr:spPr>
    </xdr:pic>
    <xdr:clientData/>
  </xdr:twoCellAnchor>
  <xdr:twoCellAnchor editAs="oneCell">
    <xdr:from>
      <xdr:col>0</xdr:col>
      <xdr:colOff>190500</xdr:colOff>
      <xdr:row>295</xdr:row>
      <xdr:rowOff>107157</xdr:rowOff>
    </xdr:from>
    <xdr:to>
      <xdr:col>1</xdr:col>
      <xdr:colOff>15922</xdr:colOff>
      <xdr:row>296</xdr:row>
      <xdr:rowOff>130322</xdr:rowOff>
    </xdr:to>
    <xdr:pic>
      <xdr:nvPicPr>
        <xdr:cNvPr id="13" name="Picture 12">
          <a:extLst>
            <a:ext uri="{FF2B5EF4-FFF2-40B4-BE49-F238E27FC236}">
              <a16:creationId xmlns:a16="http://schemas.microsoft.com/office/drawing/2014/main" xmlns="" id="{0F13E001-7E6B-4F61-A77B-21852B860689}"/>
            </a:ext>
          </a:extLst>
        </xdr:cNvPr>
        <xdr:cNvPicPr>
          <a:picLocks noChangeAspect="1"/>
        </xdr:cNvPicPr>
      </xdr:nvPicPr>
      <xdr:blipFill>
        <a:blip xmlns:r="http://schemas.openxmlformats.org/officeDocument/2006/relationships" r:embed="rId4"/>
        <a:stretch>
          <a:fillRect/>
        </a:stretch>
      </xdr:blipFill>
      <xdr:spPr>
        <a:xfrm>
          <a:off x="190500" y="59914632"/>
          <a:ext cx="168322" cy="22319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14</xdr:col>
      <xdr:colOff>1095375</xdr:colOff>
      <xdr:row>297</xdr:row>
      <xdr:rowOff>123825</xdr:rowOff>
    </xdr:from>
    <xdr:to>
      <xdr:col>14</xdr:col>
      <xdr:colOff>1895475</xdr:colOff>
      <xdr:row>298</xdr:row>
      <xdr:rowOff>152400</xdr:rowOff>
    </xdr:to>
    <xdr:pic>
      <xdr:nvPicPr>
        <xdr:cNvPr id="2" name="Picture 1" descr="C:\WINDOWS\TEMP\~0003946.gif">
          <a:extLst>
            <a:ext uri="{FF2B5EF4-FFF2-40B4-BE49-F238E27FC236}">
              <a16:creationId xmlns:a16="http://schemas.microsoft.com/office/drawing/2014/main" xmlns="" id="{B033F028-8754-4C35-BE55-B52CFC8AF0E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59931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182</xdr:row>
      <xdr:rowOff>152400</xdr:rowOff>
    </xdr:from>
    <xdr:to>
      <xdr:col>14</xdr:col>
      <xdr:colOff>1924050</xdr:colOff>
      <xdr:row>183</xdr:row>
      <xdr:rowOff>180975</xdr:rowOff>
    </xdr:to>
    <xdr:pic>
      <xdr:nvPicPr>
        <xdr:cNvPr id="3" name="Picture 2" descr="C:\WINDOWS\TEMP\~0003946.gif">
          <a:extLst>
            <a:ext uri="{FF2B5EF4-FFF2-40B4-BE49-F238E27FC236}">
              <a16:creationId xmlns:a16="http://schemas.microsoft.com/office/drawing/2014/main" xmlns="" id="{488F05C7-9A40-43FC-B86E-B6CE4944285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36804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114</xdr:row>
      <xdr:rowOff>161925</xdr:rowOff>
    </xdr:from>
    <xdr:to>
      <xdr:col>14</xdr:col>
      <xdr:colOff>1952625</xdr:colOff>
      <xdr:row>115</xdr:row>
      <xdr:rowOff>190500</xdr:rowOff>
    </xdr:to>
    <xdr:pic>
      <xdr:nvPicPr>
        <xdr:cNvPr id="4" name="Picture 3" descr="C:\WINDOWS\TEMP\~0003946.gif">
          <a:extLst>
            <a:ext uri="{FF2B5EF4-FFF2-40B4-BE49-F238E27FC236}">
              <a16:creationId xmlns:a16="http://schemas.microsoft.com/office/drawing/2014/main" xmlns="" id="{E025CFC5-ABA5-4B78-B67F-DD624DE80EE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23326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5" name="Picture 4" descr="C:\WINDOWS\TEMP\~0003946.gif">
          <a:extLst>
            <a:ext uri="{FF2B5EF4-FFF2-40B4-BE49-F238E27FC236}">
              <a16:creationId xmlns:a16="http://schemas.microsoft.com/office/drawing/2014/main" xmlns="" id="{A2ECA2D8-7E28-4A19-A75E-456ECC43476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8002250" y="10277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297</xdr:row>
      <xdr:rowOff>23812</xdr:rowOff>
    </xdr:from>
    <xdr:to>
      <xdr:col>14</xdr:col>
      <xdr:colOff>887172</xdr:colOff>
      <xdr:row>298</xdr:row>
      <xdr:rowOff>123311</xdr:rowOff>
    </xdr:to>
    <xdr:pic>
      <xdr:nvPicPr>
        <xdr:cNvPr id="6" name="Picture 5">
          <a:extLst>
            <a:ext uri="{FF2B5EF4-FFF2-40B4-BE49-F238E27FC236}">
              <a16:creationId xmlns:a16="http://schemas.microsoft.com/office/drawing/2014/main" xmlns="" id="{17048FC1-105F-4C7B-9E11-3EED5BCDFCA9}"/>
            </a:ext>
          </a:extLst>
        </xdr:cNvPr>
        <xdr:cNvPicPr>
          <a:picLocks noChangeAspect="1"/>
        </xdr:cNvPicPr>
      </xdr:nvPicPr>
      <xdr:blipFill>
        <a:blip xmlns:r="http://schemas.openxmlformats.org/officeDocument/2006/relationships" r:embed="rId3"/>
        <a:stretch>
          <a:fillRect/>
        </a:stretch>
      </xdr:blipFill>
      <xdr:spPr>
        <a:xfrm>
          <a:off x="16992600" y="59831287"/>
          <a:ext cx="883997" cy="296348"/>
        </a:xfrm>
        <a:prstGeom prst="rect">
          <a:avLst/>
        </a:prstGeom>
      </xdr:spPr>
    </xdr:pic>
    <xdr:clientData/>
  </xdr:twoCellAnchor>
  <xdr:twoCellAnchor editAs="oneCell">
    <xdr:from>
      <xdr:col>13</xdr:col>
      <xdr:colOff>1250156</xdr:colOff>
      <xdr:row>182</xdr:row>
      <xdr:rowOff>59531</xdr:rowOff>
    </xdr:from>
    <xdr:to>
      <xdr:col>14</xdr:col>
      <xdr:colOff>868916</xdr:colOff>
      <xdr:row>183</xdr:row>
      <xdr:rowOff>159030</xdr:rowOff>
    </xdr:to>
    <xdr:pic>
      <xdr:nvPicPr>
        <xdr:cNvPr id="7" name="Picture 6">
          <a:extLst>
            <a:ext uri="{FF2B5EF4-FFF2-40B4-BE49-F238E27FC236}">
              <a16:creationId xmlns:a16="http://schemas.microsoft.com/office/drawing/2014/main" xmlns="" id="{C0E2B5B4-6E37-4E68-BAE3-8EE5F8CAD4FB}"/>
            </a:ext>
          </a:extLst>
        </xdr:cNvPr>
        <xdr:cNvPicPr>
          <a:picLocks noChangeAspect="1"/>
        </xdr:cNvPicPr>
      </xdr:nvPicPr>
      <xdr:blipFill>
        <a:blip xmlns:r="http://schemas.openxmlformats.org/officeDocument/2006/relationships" r:embed="rId3"/>
        <a:stretch>
          <a:fillRect/>
        </a:stretch>
      </xdr:blipFill>
      <xdr:spPr>
        <a:xfrm>
          <a:off x="16985456" y="36711731"/>
          <a:ext cx="879235" cy="296349"/>
        </a:xfrm>
        <a:prstGeom prst="rect">
          <a:avLst/>
        </a:prstGeom>
      </xdr:spPr>
    </xdr:pic>
    <xdr:clientData/>
  </xdr:twoCellAnchor>
  <xdr:twoCellAnchor editAs="oneCell">
    <xdr:from>
      <xdr:col>14</xdr:col>
      <xdr:colOff>11906</xdr:colOff>
      <xdr:row>114</xdr:row>
      <xdr:rowOff>59531</xdr:rowOff>
    </xdr:from>
    <xdr:to>
      <xdr:col>14</xdr:col>
      <xdr:colOff>895903</xdr:colOff>
      <xdr:row>115</xdr:row>
      <xdr:rowOff>159031</xdr:rowOff>
    </xdr:to>
    <xdr:pic>
      <xdr:nvPicPr>
        <xdr:cNvPr id="8" name="Picture 7">
          <a:extLst>
            <a:ext uri="{FF2B5EF4-FFF2-40B4-BE49-F238E27FC236}">
              <a16:creationId xmlns:a16="http://schemas.microsoft.com/office/drawing/2014/main" xmlns="" id="{BEA2FAE3-A2E0-4F00-ACDD-D56FBC3184D4}"/>
            </a:ext>
          </a:extLst>
        </xdr:cNvPr>
        <xdr:cNvPicPr>
          <a:picLocks noChangeAspect="1"/>
        </xdr:cNvPicPr>
      </xdr:nvPicPr>
      <xdr:blipFill>
        <a:blip xmlns:r="http://schemas.openxmlformats.org/officeDocument/2006/relationships" r:embed="rId3"/>
        <a:stretch>
          <a:fillRect/>
        </a:stretch>
      </xdr:blipFill>
      <xdr:spPr>
        <a:xfrm>
          <a:off x="17004506" y="23224331"/>
          <a:ext cx="883997" cy="296349"/>
        </a:xfrm>
        <a:prstGeom prst="rect">
          <a:avLst/>
        </a:prstGeom>
      </xdr:spPr>
    </xdr:pic>
    <xdr:clientData/>
  </xdr:twoCellAnchor>
  <xdr:twoCellAnchor editAs="oneCell">
    <xdr:from>
      <xdr:col>13</xdr:col>
      <xdr:colOff>1178719</xdr:colOff>
      <xdr:row>50</xdr:row>
      <xdr:rowOff>83343</xdr:rowOff>
    </xdr:from>
    <xdr:to>
      <xdr:col>14</xdr:col>
      <xdr:colOff>800654</xdr:colOff>
      <xdr:row>51</xdr:row>
      <xdr:rowOff>182842</xdr:rowOff>
    </xdr:to>
    <xdr:pic>
      <xdr:nvPicPr>
        <xdr:cNvPr id="9" name="Picture 8">
          <a:extLst>
            <a:ext uri="{FF2B5EF4-FFF2-40B4-BE49-F238E27FC236}">
              <a16:creationId xmlns:a16="http://schemas.microsoft.com/office/drawing/2014/main" xmlns="" id="{129AA1BC-48C3-488B-935A-4655D330D038}"/>
            </a:ext>
          </a:extLst>
        </xdr:cNvPr>
        <xdr:cNvPicPr>
          <a:picLocks noChangeAspect="1"/>
        </xdr:cNvPicPr>
      </xdr:nvPicPr>
      <xdr:blipFill>
        <a:blip xmlns:r="http://schemas.openxmlformats.org/officeDocument/2006/relationships" r:embed="rId3"/>
        <a:stretch>
          <a:fillRect/>
        </a:stretch>
      </xdr:blipFill>
      <xdr:spPr>
        <a:xfrm>
          <a:off x="16914019" y="10198893"/>
          <a:ext cx="879235" cy="296349"/>
        </a:xfrm>
        <a:prstGeom prst="rect">
          <a:avLst/>
        </a:prstGeom>
      </xdr:spPr>
    </xdr:pic>
    <xdr:clientData/>
  </xdr:twoCellAnchor>
  <xdr:twoCellAnchor editAs="oneCell">
    <xdr:from>
      <xdr:col>0</xdr:col>
      <xdr:colOff>190500</xdr:colOff>
      <xdr:row>50</xdr:row>
      <xdr:rowOff>119062</xdr:rowOff>
    </xdr:from>
    <xdr:to>
      <xdr:col>1</xdr:col>
      <xdr:colOff>15922</xdr:colOff>
      <xdr:row>51</xdr:row>
      <xdr:rowOff>145403</xdr:rowOff>
    </xdr:to>
    <xdr:pic>
      <xdr:nvPicPr>
        <xdr:cNvPr id="10" name="Picture 9">
          <a:extLst>
            <a:ext uri="{FF2B5EF4-FFF2-40B4-BE49-F238E27FC236}">
              <a16:creationId xmlns:a16="http://schemas.microsoft.com/office/drawing/2014/main" xmlns="" id="{F7D18866-B5F9-4557-A648-2C6C5D903594}"/>
            </a:ext>
          </a:extLst>
        </xdr:cNvPr>
        <xdr:cNvPicPr>
          <a:picLocks noChangeAspect="1"/>
        </xdr:cNvPicPr>
      </xdr:nvPicPr>
      <xdr:blipFill>
        <a:blip xmlns:r="http://schemas.openxmlformats.org/officeDocument/2006/relationships" r:embed="rId4"/>
        <a:stretch>
          <a:fillRect/>
        </a:stretch>
      </xdr:blipFill>
      <xdr:spPr>
        <a:xfrm>
          <a:off x="190500" y="10234612"/>
          <a:ext cx="168322" cy="223191"/>
        </a:xfrm>
        <a:prstGeom prst="rect">
          <a:avLst/>
        </a:prstGeom>
      </xdr:spPr>
    </xdr:pic>
    <xdr:clientData/>
  </xdr:twoCellAnchor>
  <xdr:twoCellAnchor editAs="oneCell">
    <xdr:from>
      <xdr:col>0</xdr:col>
      <xdr:colOff>178594</xdr:colOff>
      <xdr:row>114</xdr:row>
      <xdr:rowOff>130969</xdr:rowOff>
    </xdr:from>
    <xdr:to>
      <xdr:col>1</xdr:col>
      <xdr:colOff>7191</xdr:colOff>
      <xdr:row>115</xdr:row>
      <xdr:rowOff>154136</xdr:rowOff>
    </xdr:to>
    <xdr:pic>
      <xdr:nvPicPr>
        <xdr:cNvPr id="11" name="Picture 10">
          <a:extLst>
            <a:ext uri="{FF2B5EF4-FFF2-40B4-BE49-F238E27FC236}">
              <a16:creationId xmlns:a16="http://schemas.microsoft.com/office/drawing/2014/main" xmlns="" id="{225C7499-43E1-46DA-B921-497EBC9F472E}"/>
            </a:ext>
          </a:extLst>
        </xdr:cNvPr>
        <xdr:cNvPicPr>
          <a:picLocks noChangeAspect="1"/>
        </xdr:cNvPicPr>
      </xdr:nvPicPr>
      <xdr:blipFill>
        <a:blip xmlns:r="http://schemas.openxmlformats.org/officeDocument/2006/relationships" r:embed="rId4"/>
        <a:stretch>
          <a:fillRect/>
        </a:stretch>
      </xdr:blipFill>
      <xdr:spPr>
        <a:xfrm>
          <a:off x="178594" y="23295769"/>
          <a:ext cx="168322" cy="223191"/>
        </a:xfrm>
        <a:prstGeom prst="rect">
          <a:avLst/>
        </a:prstGeom>
      </xdr:spPr>
    </xdr:pic>
    <xdr:clientData/>
  </xdr:twoCellAnchor>
  <xdr:twoCellAnchor editAs="oneCell">
    <xdr:from>
      <xdr:col>0</xdr:col>
      <xdr:colOff>190500</xdr:colOff>
      <xdr:row>182</xdr:row>
      <xdr:rowOff>142875</xdr:rowOff>
    </xdr:from>
    <xdr:to>
      <xdr:col>1</xdr:col>
      <xdr:colOff>15922</xdr:colOff>
      <xdr:row>183</xdr:row>
      <xdr:rowOff>162866</xdr:rowOff>
    </xdr:to>
    <xdr:pic>
      <xdr:nvPicPr>
        <xdr:cNvPr id="12" name="Picture 11">
          <a:extLst>
            <a:ext uri="{FF2B5EF4-FFF2-40B4-BE49-F238E27FC236}">
              <a16:creationId xmlns:a16="http://schemas.microsoft.com/office/drawing/2014/main" xmlns="" id="{A4F30CEE-FBB6-4943-817D-1C5107D9E8A7}"/>
            </a:ext>
          </a:extLst>
        </xdr:cNvPr>
        <xdr:cNvPicPr>
          <a:picLocks noChangeAspect="1"/>
        </xdr:cNvPicPr>
      </xdr:nvPicPr>
      <xdr:blipFill>
        <a:blip xmlns:r="http://schemas.openxmlformats.org/officeDocument/2006/relationships" r:embed="rId4"/>
        <a:stretch>
          <a:fillRect/>
        </a:stretch>
      </xdr:blipFill>
      <xdr:spPr>
        <a:xfrm>
          <a:off x="190500" y="36795075"/>
          <a:ext cx="168322" cy="223191"/>
        </a:xfrm>
        <a:prstGeom prst="rect">
          <a:avLst/>
        </a:prstGeom>
      </xdr:spPr>
    </xdr:pic>
    <xdr:clientData/>
  </xdr:twoCellAnchor>
  <xdr:twoCellAnchor editAs="oneCell">
    <xdr:from>
      <xdr:col>0</xdr:col>
      <xdr:colOff>190500</xdr:colOff>
      <xdr:row>297</xdr:row>
      <xdr:rowOff>107157</xdr:rowOff>
    </xdr:from>
    <xdr:to>
      <xdr:col>1</xdr:col>
      <xdr:colOff>15922</xdr:colOff>
      <xdr:row>298</xdr:row>
      <xdr:rowOff>130323</xdr:rowOff>
    </xdr:to>
    <xdr:pic>
      <xdr:nvPicPr>
        <xdr:cNvPr id="13" name="Picture 12">
          <a:extLst>
            <a:ext uri="{FF2B5EF4-FFF2-40B4-BE49-F238E27FC236}">
              <a16:creationId xmlns:a16="http://schemas.microsoft.com/office/drawing/2014/main" xmlns="" id="{D6574AE0-BE25-45CF-B4A8-38E9F2896833}"/>
            </a:ext>
          </a:extLst>
        </xdr:cNvPr>
        <xdr:cNvPicPr>
          <a:picLocks noChangeAspect="1"/>
        </xdr:cNvPicPr>
      </xdr:nvPicPr>
      <xdr:blipFill>
        <a:blip xmlns:r="http://schemas.openxmlformats.org/officeDocument/2006/relationships" r:embed="rId4"/>
        <a:stretch>
          <a:fillRect/>
        </a:stretch>
      </xdr:blipFill>
      <xdr:spPr>
        <a:xfrm>
          <a:off x="190500" y="59914632"/>
          <a:ext cx="168322" cy="223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29681" name="Picture 1" descr="C:\WINDOWS\TEMP\Symbol.gif">
          <a:extLst>
            <a:ext uri="{FF2B5EF4-FFF2-40B4-BE49-F238E27FC236}">
              <a16:creationId xmlns:a16="http://schemas.microsoft.com/office/drawing/2014/main" xmlns="" id="{00000000-0008-0000-0400-0000F17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114</xdr:row>
      <xdr:rowOff>161925</xdr:rowOff>
    </xdr:from>
    <xdr:to>
      <xdr:col>1</xdr:col>
      <xdr:colOff>28575</xdr:colOff>
      <xdr:row>115</xdr:row>
      <xdr:rowOff>200025</xdr:rowOff>
    </xdr:to>
    <xdr:pic>
      <xdr:nvPicPr>
        <xdr:cNvPr id="29682" name="Picture 2" descr="C:\WINDOWS\TEMP\Symbol.gif">
          <a:extLst>
            <a:ext uri="{FF2B5EF4-FFF2-40B4-BE49-F238E27FC236}">
              <a16:creationId xmlns:a16="http://schemas.microsoft.com/office/drawing/2014/main" xmlns="" id="{00000000-0008-0000-0400-0000F27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517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181</xdr:row>
      <xdr:rowOff>171450</xdr:rowOff>
    </xdr:from>
    <xdr:to>
      <xdr:col>1</xdr:col>
      <xdr:colOff>47625</xdr:colOff>
      <xdr:row>182</xdr:row>
      <xdr:rowOff>209550</xdr:rowOff>
    </xdr:to>
    <xdr:pic>
      <xdr:nvPicPr>
        <xdr:cNvPr id="29683" name="Picture 3" descr="C:\WINDOWS\TEMP\Symbol.gif">
          <a:extLst>
            <a:ext uri="{FF2B5EF4-FFF2-40B4-BE49-F238E27FC236}">
              <a16:creationId xmlns:a16="http://schemas.microsoft.com/office/drawing/2014/main" xmlns="" id="{00000000-0008-0000-0400-0000F37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023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280</xdr:row>
      <xdr:rowOff>161925</xdr:rowOff>
    </xdr:from>
    <xdr:to>
      <xdr:col>1</xdr:col>
      <xdr:colOff>19050</xdr:colOff>
      <xdr:row>281</xdr:row>
      <xdr:rowOff>200025</xdr:rowOff>
    </xdr:to>
    <xdr:pic>
      <xdr:nvPicPr>
        <xdr:cNvPr id="29684" name="Picture 4" descr="C:\WINDOWS\TEMP\Symbol.gif">
          <a:extLst>
            <a:ext uri="{FF2B5EF4-FFF2-40B4-BE49-F238E27FC236}">
              <a16:creationId xmlns:a16="http://schemas.microsoft.com/office/drawing/2014/main" xmlns="" id="{00000000-0008-0000-0400-0000F47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902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280</xdr:row>
      <xdr:rowOff>123825</xdr:rowOff>
    </xdr:from>
    <xdr:to>
      <xdr:col>14</xdr:col>
      <xdr:colOff>1895475</xdr:colOff>
      <xdr:row>281</xdr:row>
      <xdr:rowOff>152400</xdr:rowOff>
    </xdr:to>
    <xdr:pic>
      <xdr:nvPicPr>
        <xdr:cNvPr id="29685" name="Picture 5" descr="C:\WINDOWS\TEMP\~0003946.gif">
          <a:extLst>
            <a:ext uri="{FF2B5EF4-FFF2-40B4-BE49-F238E27FC236}">
              <a16:creationId xmlns:a16="http://schemas.microsoft.com/office/drawing/2014/main" xmlns="" id="{00000000-0008-0000-0400-0000F5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56864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181</xdr:row>
      <xdr:rowOff>152400</xdr:rowOff>
    </xdr:from>
    <xdr:to>
      <xdr:col>14</xdr:col>
      <xdr:colOff>1924050</xdr:colOff>
      <xdr:row>182</xdr:row>
      <xdr:rowOff>180975</xdr:rowOff>
    </xdr:to>
    <xdr:pic>
      <xdr:nvPicPr>
        <xdr:cNvPr id="29686" name="Picture 6" descr="C:\WINDOWS\TEMP\~0003946.gif">
          <a:extLst>
            <a:ext uri="{FF2B5EF4-FFF2-40B4-BE49-F238E27FC236}">
              <a16:creationId xmlns:a16="http://schemas.microsoft.com/office/drawing/2014/main" xmlns="" id="{00000000-0008-0000-0400-0000F6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700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114</xdr:row>
      <xdr:rowOff>161925</xdr:rowOff>
    </xdr:from>
    <xdr:to>
      <xdr:col>14</xdr:col>
      <xdr:colOff>1952625</xdr:colOff>
      <xdr:row>115</xdr:row>
      <xdr:rowOff>190500</xdr:rowOff>
    </xdr:to>
    <xdr:pic>
      <xdr:nvPicPr>
        <xdr:cNvPr id="29687" name="Picture 7" descr="C:\WINDOWS\TEMP\~0003946.gif">
          <a:extLst>
            <a:ext uri="{FF2B5EF4-FFF2-40B4-BE49-F238E27FC236}">
              <a16:creationId xmlns:a16="http://schemas.microsoft.com/office/drawing/2014/main" xmlns="" id="{00000000-0008-0000-0400-0000F7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51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29688" name="Picture 8" descr="C:\WINDOWS\TEMP\~0003946.gif">
          <a:extLst>
            <a:ext uri="{FF2B5EF4-FFF2-40B4-BE49-F238E27FC236}">
              <a16:creationId xmlns:a16="http://schemas.microsoft.com/office/drawing/2014/main" xmlns="" id="{00000000-0008-0000-0400-0000F8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29689" name="Picture 9" descr="C:\WINDOWS\TEMP\~0003946.gif">
          <a:extLst>
            <a:ext uri="{FF2B5EF4-FFF2-40B4-BE49-F238E27FC236}">
              <a16:creationId xmlns:a16="http://schemas.microsoft.com/office/drawing/2014/main" xmlns="" id="{00000000-0008-0000-0400-0000F9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114</xdr:row>
      <xdr:rowOff>123825</xdr:rowOff>
    </xdr:from>
    <xdr:to>
      <xdr:col>14</xdr:col>
      <xdr:colOff>895350</xdr:colOff>
      <xdr:row>115</xdr:row>
      <xdr:rowOff>152400</xdr:rowOff>
    </xdr:to>
    <xdr:pic>
      <xdr:nvPicPr>
        <xdr:cNvPr id="29690" name="Picture 10" descr="C:\WINDOWS\TEMP\~0003946.gif">
          <a:extLst>
            <a:ext uri="{FF2B5EF4-FFF2-40B4-BE49-F238E27FC236}">
              <a16:creationId xmlns:a16="http://schemas.microsoft.com/office/drawing/2014/main" xmlns="" id="{00000000-0008-0000-0400-0000FA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479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181</xdr:row>
      <xdr:rowOff>104775</xdr:rowOff>
    </xdr:from>
    <xdr:to>
      <xdr:col>14</xdr:col>
      <xdr:colOff>809625</xdr:colOff>
      <xdr:row>182</xdr:row>
      <xdr:rowOff>133350</xdr:rowOff>
    </xdr:to>
    <xdr:pic>
      <xdr:nvPicPr>
        <xdr:cNvPr id="29691" name="Picture 11" descr="C:\WINDOWS\TEMP\~0003946.gif">
          <a:extLst>
            <a:ext uri="{FF2B5EF4-FFF2-40B4-BE49-F238E27FC236}">
              <a16:creationId xmlns:a16="http://schemas.microsoft.com/office/drawing/2014/main" xmlns="" id="{00000000-0008-0000-0400-0000FB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957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280</xdr:row>
      <xdr:rowOff>104775</xdr:rowOff>
    </xdr:from>
    <xdr:to>
      <xdr:col>14</xdr:col>
      <xdr:colOff>895350</xdr:colOff>
      <xdr:row>281</xdr:row>
      <xdr:rowOff>133350</xdr:rowOff>
    </xdr:to>
    <xdr:pic>
      <xdr:nvPicPr>
        <xdr:cNvPr id="29692" name="Picture 12" descr="C:\WINDOWS\TEMP\~0003946.gif">
          <a:extLst>
            <a:ext uri="{FF2B5EF4-FFF2-40B4-BE49-F238E27FC236}">
              <a16:creationId xmlns:a16="http://schemas.microsoft.com/office/drawing/2014/main" xmlns="" id="{00000000-0008-0000-0400-0000FC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5684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29693" name="Picture 13" descr="logoMTL">
          <a:extLst>
            <a:ext uri="{FF2B5EF4-FFF2-40B4-BE49-F238E27FC236}">
              <a16:creationId xmlns:a16="http://schemas.microsoft.com/office/drawing/2014/main" xmlns="" id="{00000000-0008-0000-0400-0000FD7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114</xdr:row>
      <xdr:rowOff>38100</xdr:rowOff>
    </xdr:from>
    <xdr:to>
      <xdr:col>13</xdr:col>
      <xdr:colOff>1171575</xdr:colOff>
      <xdr:row>115</xdr:row>
      <xdr:rowOff>161925</xdr:rowOff>
    </xdr:to>
    <xdr:pic>
      <xdr:nvPicPr>
        <xdr:cNvPr id="29694" name="Picture 14" descr="logoMTL">
          <a:extLst>
            <a:ext uri="{FF2B5EF4-FFF2-40B4-BE49-F238E27FC236}">
              <a16:creationId xmlns:a16="http://schemas.microsoft.com/office/drawing/2014/main" xmlns="" id="{00000000-0008-0000-0400-0000FE7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393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181</xdr:row>
      <xdr:rowOff>28575</xdr:rowOff>
    </xdr:from>
    <xdr:to>
      <xdr:col>13</xdr:col>
      <xdr:colOff>1171575</xdr:colOff>
      <xdr:row>182</xdr:row>
      <xdr:rowOff>152400</xdr:rowOff>
    </xdr:to>
    <xdr:pic>
      <xdr:nvPicPr>
        <xdr:cNvPr id="29695" name="Picture 15" descr="logoMTL">
          <a:extLst>
            <a:ext uri="{FF2B5EF4-FFF2-40B4-BE49-F238E27FC236}">
              <a16:creationId xmlns:a16="http://schemas.microsoft.com/office/drawing/2014/main" xmlns="" id="{00000000-0008-0000-0400-0000FF7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880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280</xdr:row>
      <xdr:rowOff>0</xdr:rowOff>
    </xdr:from>
    <xdr:to>
      <xdr:col>13</xdr:col>
      <xdr:colOff>1228725</xdr:colOff>
      <xdr:row>281</xdr:row>
      <xdr:rowOff>123825</xdr:rowOff>
    </xdr:to>
    <xdr:pic>
      <xdr:nvPicPr>
        <xdr:cNvPr id="56320" name="Picture 16" descr="logoMTL">
          <a:extLst>
            <a:ext uri="{FF2B5EF4-FFF2-40B4-BE49-F238E27FC236}">
              <a16:creationId xmlns:a16="http://schemas.microsoft.com/office/drawing/2014/main" xmlns="" id="{00000000-0008-0000-0400-000000D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6740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30705" name="Picture 1" descr="C:\WINDOWS\TEMP\Symbol.gif">
          <a:extLst>
            <a:ext uri="{FF2B5EF4-FFF2-40B4-BE49-F238E27FC236}">
              <a16:creationId xmlns:a16="http://schemas.microsoft.com/office/drawing/2014/main" xmlns="" id="{00000000-0008-0000-0500-0000F1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114</xdr:row>
      <xdr:rowOff>161925</xdr:rowOff>
    </xdr:from>
    <xdr:to>
      <xdr:col>1</xdr:col>
      <xdr:colOff>28575</xdr:colOff>
      <xdr:row>115</xdr:row>
      <xdr:rowOff>200025</xdr:rowOff>
    </xdr:to>
    <xdr:pic>
      <xdr:nvPicPr>
        <xdr:cNvPr id="30706" name="Picture 2" descr="C:\WINDOWS\TEMP\Symbol.gif">
          <a:extLst>
            <a:ext uri="{FF2B5EF4-FFF2-40B4-BE49-F238E27FC236}">
              <a16:creationId xmlns:a16="http://schemas.microsoft.com/office/drawing/2014/main" xmlns="" id="{00000000-0008-0000-0500-0000F2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517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181</xdr:row>
      <xdr:rowOff>171450</xdr:rowOff>
    </xdr:from>
    <xdr:to>
      <xdr:col>1</xdr:col>
      <xdr:colOff>47625</xdr:colOff>
      <xdr:row>182</xdr:row>
      <xdr:rowOff>209550</xdr:rowOff>
    </xdr:to>
    <xdr:pic>
      <xdr:nvPicPr>
        <xdr:cNvPr id="30707" name="Picture 3" descr="C:\WINDOWS\TEMP\Symbol.gif">
          <a:extLst>
            <a:ext uri="{FF2B5EF4-FFF2-40B4-BE49-F238E27FC236}">
              <a16:creationId xmlns:a16="http://schemas.microsoft.com/office/drawing/2014/main" xmlns="" id="{00000000-0008-0000-0500-0000F3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023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280</xdr:row>
      <xdr:rowOff>161925</xdr:rowOff>
    </xdr:from>
    <xdr:to>
      <xdr:col>1</xdr:col>
      <xdr:colOff>19050</xdr:colOff>
      <xdr:row>281</xdr:row>
      <xdr:rowOff>200025</xdr:rowOff>
    </xdr:to>
    <xdr:pic>
      <xdr:nvPicPr>
        <xdr:cNvPr id="30708" name="Picture 4" descr="C:\WINDOWS\TEMP\Symbol.gif">
          <a:extLst>
            <a:ext uri="{FF2B5EF4-FFF2-40B4-BE49-F238E27FC236}">
              <a16:creationId xmlns:a16="http://schemas.microsoft.com/office/drawing/2014/main" xmlns="" id="{00000000-0008-0000-0500-0000F4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902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280</xdr:row>
      <xdr:rowOff>123825</xdr:rowOff>
    </xdr:from>
    <xdr:to>
      <xdr:col>14</xdr:col>
      <xdr:colOff>1895475</xdr:colOff>
      <xdr:row>281</xdr:row>
      <xdr:rowOff>152400</xdr:rowOff>
    </xdr:to>
    <xdr:pic>
      <xdr:nvPicPr>
        <xdr:cNvPr id="30709" name="Picture 5" descr="C:\WINDOWS\TEMP\~0003946.gif">
          <a:extLst>
            <a:ext uri="{FF2B5EF4-FFF2-40B4-BE49-F238E27FC236}">
              <a16:creationId xmlns:a16="http://schemas.microsoft.com/office/drawing/2014/main" xmlns="" id="{00000000-0008-0000-0500-0000F5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56864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181</xdr:row>
      <xdr:rowOff>152400</xdr:rowOff>
    </xdr:from>
    <xdr:to>
      <xdr:col>14</xdr:col>
      <xdr:colOff>1924050</xdr:colOff>
      <xdr:row>182</xdr:row>
      <xdr:rowOff>180975</xdr:rowOff>
    </xdr:to>
    <xdr:pic>
      <xdr:nvPicPr>
        <xdr:cNvPr id="30710" name="Picture 6" descr="C:\WINDOWS\TEMP\~0003946.gif">
          <a:extLst>
            <a:ext uri="{FF2B5EF4-FFF2-40B4-BE49-F238E27FC236}">
              <a16:creationId xmlns:a16="http://schemas.microsoft.com/office/drawing/2014/main" xmlns="" id="{00000000-0008-0000-0500-0000F6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700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114</xdr:row>
      <xdr:rowOff>161925</xdr:rowOff>
    </xdr:from>
    <xdr:to>
      <xdr:col>14</xdr:col>
      <xdr:colOff>1952625</xdr:colOff>
      <xdr:row>115</xdr:row>
      <xdr:rowOff>190500</xdr:rowOff>
    </xdr:to>
    <xdr:pic>
      <xdr:nvPicPr>
        <xdr:cNvPr id="30711" name="Picture 7" descr="C:\WINDOWS\TEMP\~0003946.gif">
          <a:extLst>
            <a:ext uri="{FF2B5EF4-FFF2-40B4-BE49-F238E27FC236}">
              <a16:creationId xmlns:a16="http://schemas.microsoft.com/office/drawing/2014/main" xmlns="" id="{00000000-0008-0000-0500-0000F7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51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30712" name="Picture 8" descr="C:\WINDOWS\TEMP\~0003946.gif">
          <a:extLst>
            <a:ext uri="{FF2B5EF4-FFF2-40B4-BE49-F238E27FC236}">
              <a16:creationId xmlns:a16="http://schemas.microsoft.com/office/drawing/2014/main" xmlns="" id="{00000000-0008-0000-0500-0000F8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30713" name="Picture 9" descr="C:\WINDOWS\TEMP\~0003946.gif">
          <a:extLst>
            <a:ext uri="{FF2B5EF4-FFF2-40B4-BE49-F238E27FC236}">
              <a16:creationId xmlns:a16="http://schemas.microsoft.com/office/drawing/2014/main" xmlns="" id="{00000000-0008-0000-0500-0000F9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114</xdr:row>
      <xdr:rowOff>123825</xdr:rowOff>
    </xdr:from>
    <xdr:to>
      <xdr:col>14</xdr:col>
      <xdr:colOff>895350</xdr:colOff>
      <xdr:row>115</xdr:row>
      <xdr:rowOff>152400</xdr:rowOff>
    </xdr:to>
    <xdr:pic>
      <xdr:nvPicPr>
        <xdr:cNvPr id="30714" name="Picture 10" descr="C:\WINDOWS\TEMP\~0003946.gif">
          <a:extLst>
            <a:ext uri="{FF2B5EF4-FFF2-40B4-BE49-F238E27FC236}">
              <a16:creationId xmlns:a16="http://schemas.microsoft.com/office/drawing/2014/main" xmlns="" id="{00000000-0008-0000-0500-0000FA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479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181</xdr:row>
      <xdr:rowOff>104775</xdr:rowOff>
    </xdr:from>
    <xdr:to>
      <xdr:col>14</xdr:col>
      <xdr:colOff>809625</xdr:colOff>
      <xdr:row>182</xdr:row>
      <xdr:rowOff>133350</xdr:rowOff>
    </xdr:to>
    <xdr:pic>
      <xdr:nvPicPr>
        <xdr:cNvPr id="30715" name="Picture 11" descr="C:\WINDOWS\TEMP\~0003946.gif">
          <a:extLst>
            <a:ext uri="{FF2B5EF4-FFF2-40B4-BE49-F238E27FC236}">
              <a16:creationId xmlns:a16="http://schemas.microsoft.com/office/drawing/2014/main" xmlns="" id="{00000000-0008-0000-0500-0000FB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957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280</xdr:row>
      <xdr:rowOff>104775</xdr:rowOff>
    </xdr:from>
    <xdr:to>
      <xdr:col>14</xdr:col>
      <xdr:colOff>895350</xdr:colOff>
      <xdr:row>281</xdr:row>
      <xdr:rowOff>133350</xdr:rowOff>
    </xdr:to>
    <xdr:pic>
      <xdr:nvPicPr>
        <xdr:cNvPr id="30716" name="Picture 12" descr="C:\WINDOWS\TEMP\~0003946.gif">
          <a:extLst>
            <a:ext uri="{FF2B5EF4-FFF2-40B4-BE49-F238E27FC236}">
              <a16:creationId xmlns:a16="http://schemas.microsoft.com/office/drawing/2014/main" xmlns="" id="{00000000-0008-0000-0500-0000FC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5684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30717" name="Picture 13" descr="logoMTL">
          <a:extLst>
            <a:ext uri="{FF2B5EF4-FFF2-40B4-BE49-F238E27FC236}">
              <a16:creationId xmlns:a16="http://schemas.microsoft.com/office/drawing/2014/main" xmlns="" id="{00000000-0008-0000-0500-0000FD7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114</xdr:row>
      <xdr:rowOff>38100</xdr:rowOff>
    </xdr:from>
    <xdr:to>
      <xdr:col>13</xdr:col>
      <xdr:colOff>1171575</xdr:colOff>
      <xdr:row>115</xdr:row>
      <xdr:rowOff>161925</xdr:rowOff>
    </xdr:to>
    <xdr:pic>
      <xdr:nvPicPr>
        <xdr:cNvPr id="30718" name="Picture 14" descr="logoMTL">
          <a:extLst>
            <a:ext uri="{FF2B5EF4-FFF2-40B4-BE49-F238E27FC236}">
              <a16:creationId xmlns:a16="http://schemas.microsoft.com/office/drawing/2014/main" xmlns="" id="{00000000-0008-0000-0500-0000FE7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393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181</xdr:row>
      <xdr:rowOff>28575</xdr:rowOff>
    </xdr:from>
    <xdr:to>
      <xdr:col>13</xdr:col>
      <xdr:colOff>1171575</xdr:colOff>
      <xdr:row>182</xdr:row>
      <xdr:rowOff>152400</xdr:rowOff>
    </xdr:to>
    <xdr:pic>
      <xdr:nvPicPr>
        <xdr:cNvPr id="30719" name="Picture 15" descr="logoMTL">
          <a:extLst>
            <a:ext uri="{FF2B5EF4-FFF2-40B4-BE49-F238E27FC236}">
              <a16:creationId xmlns:a16="http://schemas.microsoft.com/office/drawing/2014/main" xmlns="" id="{00000000-0008-0000-0500-0000FF7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880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280</xdr:row>
      <xdr:rowOff>0</xdr:rowOff>
    </xdr:from>
    <xdr:to>
      <xdr:col>13</xdr:col>
      <xdr:colOff>1228725</xdr:colOff>
      <xdr:row>281</xdr:row>
      <xdr:rowOff>123825</xdr:rowOff>
    </xdr:to>
    <xdr:pic>
      <xdr:nvPicPr>
        <xdr:cNvPr id="57344" name="Picture 16" descr="logoMTL">
          <a:extLst>
            <a:ext uri="{FF2B5EF4-FFF2-40B4-BE49-F238E27FC236}">
              <a16:creationId xmlns:a16="http://schemas.microsoft.com/office/drawing/2014/main" xmlns="" id="{00000000-0008-0000-0500-000000E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6740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31729" name="Picture 1" descr="C:\WINDOWS\TEMP\Symbol.gif">
          <a:extLst>
            <a:ext uri="{FF2B5EF4-FFF2-40B4-BE49-F238E27FC236}">
              <a16:creationId xmlns:a16="http://schemas.microsoft.com/office/drawing/2014/main" xmlns="" id="{00000000-0008-0000-0600-0000F1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114</xdr:row>
      <xdr:rowOff>161925</xdr:rowOff>
    </xdr:from>
    <xdr:to>
      <xdr:col>1</xdr:col>
      <xdr:colOff>28575</xdr:colOff>
      <xdr:row>115</xdr:row>
      <xdr:rowOff>200025</xdr:rowOff>
    </xdr:to>
    <xdr:pic>
      <xdr:nvPicPr>
        <xdr:cNvPr id="31730" name="Picture 2" descr="C:\WINDOWS\TEMP\Symbol.gif">
          <a:extLst>
            <a:ext uri="{FF2B5EF4-FFF2-40B4-BE49-F238E27FC236}">
              <a16:creationId xmlns:a16="http://schemas.microsoft.com/office/drawing/2014/main" xmlns="" id="{00000000-0008-0000-0600-0000F2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517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181</xdr:row>
      <xdr:rowOff>171450</xdr:rowOff>
    </xdr:from>
    <xdr:to>
      <xdr:col>1</xdr:col>
      <xdr:colOff>47625</xdr:colOff>
      <xdr:row>182</xdr:row>
      <xdr:rowOff>209550</xdr:rowOff>
    </xdr:to>
    <xdr:pic>
      <xdr:nvPicPr>
        <xdr:cNvPr id="31731" name="Picture 3" descr="C:\WINDOWS\TEMP\Symbol.gif">
          <a:extLst>
            <a:ext uri="{FF2B5EF4-FFF2-40B4-BE49-F238E27FC236}">
              <a16:creationId xmlns:a16="http://schemas.microsoft.com/office/drawing/2014/main" xmlns="" id="{00000000-0008-0000-0600-0000F3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023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280</xdr:row>
      <xdr:rowOff>161925</xdr:rowOff>
    </xdr:from>
    <xdr:to>
      <xdr:col>1</xdr:col>
      <xdr:colOff>19050</xdr:colOff>
      <xdr:row>281</xdr:row>
      <xdr:rowOff>200025</xdr:rowOff>
    </xdr:to>
    <xdr:pic>
      <xdr:nvPicPr>
        <xdr:cNvPr id="31732" name="Picture 4" descr="C:\WINDOWS\TEMP\Symbol.gif">
          <a:extLst>
            <a:ext uri="{FF2B5EF4-FFF2-40B4-BE49-F238E27FC236}">
              <a16:creationId xmlns:a16="http://schemas.microsoft.com/office/drawing/2014/main" xmlns="" id="{00000000-0008-0000-0600-0000F4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902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280</xdr:row>
      <xdr:rowOff>123825</xdr:rowOff>
    </xdr:from>
    <xdr:to>
      <xdr:col>14</xdr:col>
      <xdr:colOff>1895475</xdr:colOff>
      <xdr:row>281</xdr:row>
      <xdr:rowOff>152400</xdr:rowOff>
    </xdr:to>
    <xdr:pic>
      <xdr:nvPicPr>
        <xdr:cNvPr id="31733" name="Picture 5" descr="C:\WINDOWS\TEMP\~0003946.gif">
          <a:extLst>
            <a:ext uri="{FF2B5EF4-FFF2-40B4-BE49-F238E27FC236}">
              <a16:creationId xmlns:a16="http://schemas.microsoft.com/office/drawing/2014/main" xmlns="" id="{00000000-0008-0000-0600-0000F5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56864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181</xdr:row>
      <xdr:rowOff>152400</xdr:rowOff>
    </xdr:from>
    <xdr:to>
      <xdr:col>14</xdr:col>
      <xdr:colOff>1924050</xdr:colOff>
      <xdr:row>182</xdr:row>
      <xdr:rowOff>180975</xdr:rowOff>
    </xdr:to>
    <xdr:pic>
      <xdr:nvPicPr>
        <xdr:cNvPr id="31734" name="Picture 6" descr="C:\WINDOWS\TEMP\~0003946.gif">
          <a:extLst>
            <a:ext uri="{FF2B5EF4-FFF2-40B4-BE49-F238E27FC236}">
              <a16:creationId xmlns:a16="http://schemas.microsoft.com/office/drawing/2014/main" xmlns="" id="{00000000-0008-0000-0600-0000F6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700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114</xdr:row>
      <xdr:rowOff>161925</xdr:rowOff>
    </xdr:from>
    <xdr:to>
      <xdr:col>14</xdr:col>
      <xdr:colOff>1952625</xdr:colOff>
      <xdr:row>115</xdr:row>
      <xdr:rowOff>190500</xdr:rowOff>
    </xdr:to>
    <xdr:pic>
      <xdr:nvPicPr>
        <xdr:cNvPr id="31735" name="Picture 7" descr="C:\WINDOWS\TEMP\~0003946.gif">
          <a:extLst>
            <a:ext uri="{FF2B5EF4-FFF2-40B4-BE49-F238E27FC236}">
              <a16:creationId xmlns:a16="http://schemas.microsoft.com/office/drawing/2014/main" xmlns="" id="{00000000-0008-0000-0600-0000F7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51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31736" name="Picture 8" descr="C:\WINDOWS\TEMP\~0003946.gif">
          <a:extLst>
            <a:ext uri="{FF2B5EF4-FFF2-40B4-BE49-F238E27FC236}">
              <a16:creationId xmlns:a16="http://schemas.microsoft.com/office/drawing/2014/main" xmlns="" id="{00000000-0008-0000-0600-0000F8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31737" name="Picture 9" descr="C:\WINDOWS\TEMP\~0003946.gif">
          <a:extLst>
            <a:ext uri="{FF2B5EF4-FFF2-40B4-BE49-F238E27FC236}">
              <a16:creationId xmlns:a16="http://schemas.microsoft.com/office/drawing/2014/main" xmlns="" id="{00000000-0008-0000-0600-0000F9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114</xdr:row>
      <xdr:rowOff>123825</xdr:rowOff>
    </xdr:from>
    <xdr:to>
      <xdr:col>14</xdr:col>
      <xdr:colOff>895350</xdr:colOff>
      <xdr:row>115</xdr:row>
      <xdr:rowOff>152400</xdr:rowOff>
    </xdr:to>
    <xdr:pic>
      <xdr:nvPicPr>
        <xdr:cNvPr id="31738" name="Picture 10" descr="C:\WINDOWS\TEMP\~0003946.gif">
          <a:extLst>
            <a:ext uri="{FF2B5EF4-FFF2-40B4-BE49-F238E27FC236}">
              <a16:creationId xmlns:a16="http://schemas.microsoft.com/office/drawing/2014/main" xmlns="" id="{00000000-0008-0000-0600-0000FA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479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181</xdr:row>
      <xdr:rowOff>104775</xdr:rowOff>
    </xdr:from>
    <xdr:to>
      <xdr:col>14</xdr:col>
      <xdr:colOff>809625</xdr:colOff>
      <xdr:row>182</xdr:row>
      <xdr:rowOff>133350</xdr:rowOff>
    </xdr:to>
    <xdr:pic>
      <xdr:nvPicPr>
        <xdr:cNvPr id="31739" name="Picture 11" descr="C:\WINDOWS\TEMP\~0003946.gif">
          <a:extLst>
            <a:ext uri="{FF2B5EF4-FFF2-40B4-BE49-F238E27FC236}">
              <a16:creationId xmlns:a16="http://schemas.microsoft.com/office/drawing/2014/main" xmlns="" id="{00000000-0008-0000-0600-0000FB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957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280</xdr:row>
      <xdr:rowOff>104775</xdr:rowOff>
    </xdr:from>
    <xdr:to>
      <xdr:col>14</xdr:col>
      <xdr:colOff>895350</xdr:colOff>
      <xdr:row>281</xdr:row>
      <xdr:rowOff>133350</xdr:rowOff>
    </xdr:to>
    <xdr:pic>
      <xdr:nvPicPr>
        <xdr:cNvPr id="31740" name="Picture 12" descr="C:\WINDOWS\TEMP\~0003946.gif">
          <a:extLst>
            <a:ext uri="{FF2B5EF4-FFF2-40B4-BE49-F238E27FC236}">
              <a16:creationId xmlns:a16="http://schemas.microsoft.com/office/drawing/2014/main" xmlns="" id="{00000000-0008-0000-0600-0000FC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5684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31741" name="Picture 13" descr="logoMTL">
          <a:extLst>
            <a:ext uri="{FF2B5EF4-FFF2-40B4-BE49-F238E27FC236}">
              <a16:creationId xmlns:a16="http://schemas.microsoft.com/office/drawing/2014/main" xmlns="" id="{00000000-0008-0000-0600-0000FD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114</xdr:row>
      <xdr:rowOff>38100</xdr:rowOff>
    </xdr:from>
    <xdr:to>
      <xdr:col>13</xdr:col>
      <xdr:colOff>1171575</xdr:colOff>
      <xdr:row>115</xdr:row>
      <xdr:rowOff>161925</xdr:rowOff>
    </xdr:to>
    <xdr:pic>
      <xdr:nvPicPr>
        <xdr:cNvPr id="31742" name="Picture 14" descr="logoMTL">
          <a:extLst>
            <a:ext uri="{FF2B5EF4-FFF2-40B4-BE49-F238E27FC236}">
              <a16:creationId xmlns:a16="http://schemas.microsoft.com/office/drawing/2014/main" xmlns="" id="{00000000-0008-0000-0600-0000FE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393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181</xdr:row>
      <xdr:rowOff>28575</xdr:rowOff>
    </xdr:from>
    <xdr:to>
      <xdr:col>13</xdr:col>
      <xdr:colOff>1171575</xdr:colOff>
      <xdr:row>182</xdr:row>
      <xdr:rowOff>152400</xdr:rowOff>
    </xdr:to>
    <xdr:pic>
      <xdr:nvPicPr>
        <xdr:cNvPr id="31743" name="Picture 15" descr="logoMTL">
          <a:extLst>
            <a:ext uri="{FF2B5EF4-FFF2-40B4-BE49-F238E27FC236}">
              <a16:creationId xmlns:a16="http://schemas.microsoft.com/office/drawing/2014/main" xmlns="" id="{00000000-0008-0000-0600-0000FF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880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280</xdr:row>
      <xdr:rowOff>0</xdr:rowOff>
    </xdr:from>
    <xdr:to>
      <xdr:col>13</xdr:col>
      <xdr:colOff>1228725</xdr:colOff>
      <xdr:row>281</xdr:row>
      <xdr:rowOff>123825</xdr:rowOff>
    </xdr:to>
    <xdr:pic>
      <xdr:nvPicPr>
        <xdr:cNvPr id="58368" name="Picture 16" descr="logoMTL">
          <a:extLst>
            <a:ext uri="{FF2B5EF4-FFF2-40B4-BE49-F238E27FC236}">
              <a16:creationId xmlns:a16="http://schemas.microsoft.com/office/drawing/2014/main" xmlns="" id="{00000000-0008-0000-0600-000000E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6740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32753" name="Picture 1" descr="C:\WINDOWS\TEMP\Symbol.gif">
          <a:extLst>
            <a:ext uri="{FF2B5EF4-FFF2-40B4-BE49-F238E27FC236}">
              <a16:creationId xmlns:a16="http://schemas.microsoft.com/office/drawing/2014/main" xmlns="" id="{00000000-0008-0000-0700-0000F1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114</xdr:row>
      <xdr:rowOff>161925</xdr:rowOff>
    </xdr:from>
    <xdr:to>
      <xdr:col>1</xdr:col>
      <xdr:colOff>28575</xdr:colOff>
      <xdr:row>115</xdr:row>
      <xdr:rowOff>200025</xdr:rowOff>
    </xdr:to>
    <xdr:pic>
      <xdr:nvPicPr>
        <xdr:cNvPr id="32754" name="Picture 2" descr="C:\WINDOWS\TEMP\Symbol.gif">
          <a:extLst>
            <a:ext uri="{FF2B5EF4-FFF2-40B4-BE49-F238E27FC236}">
              <a16:creationId xmlns:a16="http://schemas.microsoft.com/office/drawing/2014/main" xmlns="" id="{00000000-0008-0000-0700-0000F2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3517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181</xdr:row>
      <xdr:rowOff>171450</xdr:rowOff>
    </xdr:from>
    <xdr:to>
      <xdr:col>1</xdr:col>
      <xdr:colOff>47625</xdr:colOff>
      <xdr:row>182</xdr:row>
      <xdr:rowOff>209550</xdr:rowOff>
    </xdr:to>
    <xdr:pic>
      <xdr:nvPicPr>
        <xdr:cNvPr id="32755" name="Picture 3" descr="C:\WINDOWS\TEMP\Symbol.gif">
          <a:extLst>
            <a:ext uri="{FF2B5EF4-FFF2-40B4-BE49-F238E27FC236}">
              <a16:creationId xmlns:a16="http://schemas.microsoft.com/office/drawing/2014/main" xmlns="" id="{00000000-0008-0000-0700-0000F3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023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280</xdr:row>
      <xdr:rowOff>161925</xdr:rowOff>
    </xdr:from>
    <xdr:to>
      <xdr:col>1</xdr:col>
      <xdr:colOff>19050</xdr:colOff>
      <xdr:row>281</xdr:row>
      <xdr:rowOff>200025</xdr:rowOff>
    </xdr:to>
    <xdr:pic>
      <xdr:nvPicPr>
        <xdr:cNvPr id="32756" name="Picture 4" descr="C:\WINDOWS\TEMP\Symbol.gif">
          <a:extLst>
            <a:ext uri="{FF2B5EF4-FFF2-40B4-BE49-F238E27FC236}">
              <a16:creationId xmlns:a16="http://schemas.microsoft.com/office/drawing/2014/main" xmlns="" id="{00000000-0008-0000-0700-0000F4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902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280</xdr:row>
      <xdr:rowOff>123825</xdr:rowOff>
    </xdr:from>
    <xdr:to>
      <xdr:col>14</xdr:col>
      <xdr:colOff>1895475</xdr:colOff>
      <xdr:row>281</xdr:row>
      <xdr:rowOff>152400</xdr:rowOff>
    </xdr:to>
    <xdr:pic>
      <xdr:nvPicPr>
        <xdr:cNvPr id="32757" name="Picture 5" descr="C:\WINDOWS\TEMP\~0003946.gif">
          <a:extLst>
            <a:ext uri="{FF2B5EF4-FFF2-40B4-BE49-F238E27FC236}">
              <a16:creationId xmlns:a16="http://schemas.microsoft.com/office/drawing/2014/main" xmlns="" id="{00000000-0008-0000-0700-0000F5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56864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181</xdr:row>
      <xdr:rowOff>152400</xdr:rowOff>
    </xdr:from>
    <xdr:to>
      <xdr:col>14</xdr:col>
      <xdr:colOff>1924050</xdr:colOff>
      <xdr:row>182</xdr:row>
      <xdr:rowOff>180975</xdr:rowOff>
    </xdr:to>
    <xdr:pic>
      <xdr:nvPicPr>
        <xdr:cNvPr id="32758" name="Picture 6" descr="C:\WINDOWS\TEMP\~0003946.gif">
          <a:extLst>
            <a:ext uri="{FF2B5EF4-FFF2-40B4-BE49-F238E27FC236}">
              <a16:creationId xmlns:a16="http://schemas.microsoft.com/office/drawing/2014/main" xmlns="" id="{00000000-0008-0000-0700-0000F6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3700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114</xdr:row>
      <xdr:rowOff>161925</xdr:rowOff>
    </xdr:from>
    <xdr:to>
      <xdr:col>14</xdr:col>
      <xdr:colOff>1952625</xdr:colOff>
      <xdr:row>115</xdr:row>
      <xdr:rowOff>190500</xdr:rowOff>
    </xdr:to>
    <xdr:pic>
      <xdr:nvPicPr>
        <xdr:cNvPr id="32759" name="Picture 7" descr="C:\WINDOWS\TEMP\~0003946.gif">
          <a:extLst>
            <a:ext uri="{FF2B5EF4-FFF2-40B4-BE49-F238E27FC236}">
              <a16:creationId xmlns:a16="http://schemas.microsoft.com/office/drawing/2014/main" xmlns="" id="{00000000-0008-0000-0700-0000F7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2351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32760" name="Picture 8" descr="C:\WINDOWS\TEMP\~0003946.gif">
          <a:extLst>
            <a:ext uri="{FF2B5EF4-FFF2-40B4-BE49-F238E27FC236}">
              <a16:creationId xmlns:a16="http://schemas.microsoft.com/office/drawing/2014/main" xmlns="" id="{00000000-0008-0000-0700-0000F8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32761" name="Picture 9" descr="C:\WINDOWS\TEMP\~0003946.gif">
          <a:extLst>
            <a:ext uri="{FF2B5EF4-FFF2-40B4-BE49-F238E27FC236}">
              <a16:creationId xmlns:a16="http://schemas.microsoft.com/office/drawing/2014/main" xmlns="" id="{00000000-0008-0000-0700-0000F9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114</xdr:row>
      <xdr:rowOff>123825</xdr:rowOff>
    </xdr:from>
    <xdr:to>
      <xdr:col>14</xdr:col>
      <xdr:colOff>895350</xdr:colOff>
      <xdr:row>115</xdr:row>
      <xdr:rowOff>152400</xdr:rowOff>
    </xdr:to>
    <xdr:pic>
      <xdr:nvPicPr>
        <xdr:cNvPr id="32762" name="Picture 10" descr="C:\WINDOWS\TEMP\~0003946.gif">
          <a:extLst>
            <a:ext uri="{FF2B5EF4-FFF2-40B4-BE49-F238E27FC236}">
              <a16:creationId xmlns:a16="http://schemas.microsoft.com/office/drawing/2014/main" xmlns="" id="{00000000-0008-0000-0700-0000FA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23479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181</xdr:row>
      <xdr:rowOff>104775</xdr:rowOff>
    </xdr:from>
    <xdr:to>
      <xdr:col>14</xdr:col>
      <xdr:colOff>809625</xdr:colOff>
      <xdr:row>182</xdr:row>
      <xdr:rowOff>133350</xdr:rowOff>
    </xdr:to>
    <xdr:pic>
      <xdr:nvPicPr>
        <xdr:cNvPr id="32763" name="Picture 11" descr="C:\WINDOWS\TEMP\~0003946.gif">
          <a:extLst>
            <a:ext uri="{FF2B5EF4-FFF2-40B4-BE49-F238E27FC236}">
              <a16:creationId xmlns:a16="http://schemas.microsoft.com/office/drawing/2014/main" xmlns="" id="{00000000-0008-0000-0700-0000FB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02125" y="36957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280</xdr:row>
      <xdr:rowOff>104775</xdr:rowOff>
    </xdr:from>
    <xdr:to>
      <xdr:col>14</xdr:col>
      <xdr:colOff>895350</xdr:colOff>
      <xdr:row>281</xdr:row>
      <xdr:rowOff>133350</xdr:rowOff>
    </xdr:to>
    <xdr:pic>
      <xdr:nvPicPr>
        <xdr:cNvPr id="32764" name="Picture 12" descr="C:\WINDOWS\TEMP\~0003946.gif">
          <a:extLst>
            <a:ext uri="{FF2B5EF4-FFF2-40B4-BE49-F238E27FC236}">
              <a16:creationId xmlns:a16="http://schemas.microsoft.com/office/drawing/2014/main" xmlns="" id="{00000000-0008-0000-0700-0000FC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17087850" y="5684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32765" name="Picture 13" descr="logoMTL">
          <a:extLst>
            <a:ext uri="{FF2B5EF4-FFF2-40B4-BE49-F238E27FC236}">
              <a16:creationId xmlns:a16="http://schemas.microsoft.com/office/drawing/2014/main" xmlns="" id="{00000000-0008-0000-0700-0000FD7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114</xdr:row>
      <xdr:rowOff>38100</xdr:rowOff>
    </xdr:from>
    <xdr:to>
      <xdr:col>13</xdr:col>
      <xdr:colOff>1171575</xdr:colOff>
      <xdr:row>115</xdr:row>
      <xdr:rowOff>161925</xdr:rowOff>
    </xdr:to>
    <xdr:pic>
      <xdr:nvPicPr>
        <xdr:cNvPr id="32766" name="Picture 14" descr="logoMTL">
          <a:extLst>
            <a:ext uri="{FF2B5EF4-FFF2-40B4-BE49-F238E27FC236}">
              <a16:creationId xmlns:a16="http://schemas.microsoft.com/office/drawing/2014/main" xmlns="" id="{00000000-0008-0000-0700-0000FE7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23393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181</xdr:row>
      <xdr:rowOff>28575</xdr:rowOff>
    </xdr:from>
    <xdr:to>
      <xdr:col>13</xdr:col>
      <xdr:colOff>1171575</xdr:colOff>
      <xdr:row>182</xdr:row>
      <xdr:rowOff>152400</xdr:rowOff>
    </xdr:to>
    <xdr:pic>
      <xdr:nvPicPr>
        <xdr:cNvPr id="32767" name="Picture 15" descr="logoMTL">
          <a:extLst>
            <a:ext uri="{FF2B5EF4-FFF2-40B4-BE49-F238E27FC236}">
              <a16:creationId xmlns:a16="http://schemas.microsoft.com/office/drawing/2014/main" xmlns="" id="{00000000-0008-0000-0700-0000FF7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06775" y="36880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280</xdr:row>
      <xdr:rowOff>0</xdr:rowOff>
    </xdr:from>
    <xdr:to>
      <xdr:col>13</xdr:col>
      <xdr:colOff>1228725</xdr:colOff>
      <xdr:row>281</xdr:row>
      <xdr:rowOff>123825</xdr:rowOff>
    </xdr:to>
    <xdr:pic>
      <xdr:nvPicPr>
        <xdr:cNvPr id="59392" name="Picture 16" descr="logoMTL">
          <a:extLst>
            <a:ext uri="{FF2B5EF4-FFF2-40B4-BE49-F238E27FC236}">
              <a16:creationId xmlns:a16="http://schemas.microsoft.com/office/drawing/2014/main" xmlns="" id="{00000000-0008-0000-0700-000000E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54400" y="56740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50</xdr:row>
      <xdr:rowOff>190500</xdr:rowOff>
    </xdr:from>
    <xdr:to>
      <xdr:col>1</xdr:col>
      <xdr:colOff>0</xdr:colOff>
      <xdr:row>51</xdr:row>
      <xdr:rowOff>228600</xdr:rowOff>
    </xdr:to>
    <xdr:pic>
      <xdr:nvPicPr>
        <xdr:cNvPr id="33777" name="Picture 1" descr="C:\WINDOWS\TEMP\Symbol.gif">
          <a:extLst>
            <a:ext uri="{FF2B5EF4-FFF2-40B4-BE49-F238E27FC236}">
              <a16:creationId xmlns:a16="http://schemas.microsoft.com/office/drawing/2014/main" xmlns="" id="{00000000-0008-0000-0800-0000F1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0296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114</xdr:row>
      <xdr:rowOff>161925</xdr:rowOff>
    </xdr:from>
    <xdr:to>
      <xdr:col>1</xdr:col>
      <xdr:colOff>28575</xdr:colOff>
      <xdr:row>115</xdr:row>
      <xdr:rowOff>200025</xdr:rowOff>
    </xdr:to>
    <xdr:pic>
      <xdr:nvPicPr>
        <xdr:cNvPr id="33778" name="Picture 2" descr="C:\WINDOWS\TEMP\Symbol.gif">
          <a:extLst>
            <a:ext uri="{FF2B5EF4-FFF2-40B4-BE49-F238E27FC236}">
              <a16:creationId xmlns:a16="http://schemas.microsoft.com/office/drawing/2014/main" xmlns="" id="{00000000-0008-0000-0800-0000F2830000}"/>
            </a:ext>
          </a:extLst>
        </xdr:cNvPr>
        <xdr:cNvPicPr>
          <a:picLocks noChangeAspect="1" noChangeArrowheads="1"/>
        </xdr:cNvPicPr>
      </xdr:nvPicPr>
      <xdr:blipFill>
        <a:blip xmlns:r="http://schemas.openxmlformats.org/officeDocument/2006/relationships" r:embed="rId2" r:link="rId1" cstate="print">
          <a:extLst>
            <a:ext uri="{28A0092B-C50C-407E-A947-70E740481C1C}">
              <a14:useLocalDpi xmlns:a14="http://schemas.microsoft.com/office/drawing/2010/main" val="0"/>
            </a:ext>
          </a:extLst>
        </a:blip>
        <a:srcRect/>
        <a:stretch>
          <a:fillRect/>
        </a:stretch>
      </xdr:blipFill>
      <xdr:spPr bwMode="auto">
        <a:xfrm>
          <a:off x="28575" y="23517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181</xdr:row>
      <xdr:rowOff>171450</xdr:rowOff>
    </xdr:from>
    <xdr:to>
      <xdr:col>1</xdr:col>
      <xdr:colOff>47625</xdr:colOff>
      <xdr:row>182</xdr:row>
      <xdr:rowOff>209550</xdr:rowOff>
    </xdr:to>
    <xdr:pic>
      <xdr:nvPicPr>
        <xdr:cNvPr id="33779" name="Picture 3" descr="C:\WINDOWS\TEMP\Symbol.gif">
          <a:extLst>
            <a:ext uri="{FF2B5EF4-FFF2-40B4-BE49-F238E27FC236}">
              <a16:creationId xmlns:a16="http://schemas.microsoft.com/office/drawing/2014/main" xmlns="" id="{00000000-0008-0000-0800-0000F3830000}"/>
            </a:ext>
          </a:extLst>
        </xdr:cNvPr>
        <xdr:cNvPicPr>
          <a:picLocks noChangeAspect="1" noChangeArrowheads="1"/>
        </xdr:cNvPicPr>
      </xdr:nvPicPr>
      <xdr:blipFill>
        <a:blip xmlns:r="http://schemas.openxmlformats.org/officeDocument/2006/relationships" r:embed="rId2" r:link="rId1" cstate="print">
          <a:extLst>
            <a:ext uri="{28A0092B-C50C-407E-A947-70E740481C1C}">
              <a14:useLocalDpi xmlns:a14="http://schemas.microsoft.com/office/drawing/2010/main" val="0"/>
            </a:ext>
          </a:extLst>
        </a:blip>
        <a:srcRect/>
        <a:stretch>
          <a:fillRect/>
        </a:stretch>
      </xdr:blipFill>
      <xdr:spPr bwMode="auto">
        <a:xfrm>
          <a:off x="47625" y="37023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280</xdr:row>
      <xdr:rowOff>161925</xdr:rowOff>
    </xdr:from>
    <xdr:to>
      <xdr:col>1</xdr:col>
      <xdr:colOff>19050</xdr:colOff>
      <xdr:row>281</xdr:row>
      <xdr:rowOff>200025</xdr:rowOff>
    </xdr:to>
    <xdr:pic>
      <xdr:nvPicPr>
        <xdr:cNvPr id="33780" name="Picture 4" descr="C:\WINDOWS\TEMP\Symbol.gif">
          <a:extLst>
            <a:ext uri="{FF2B5EF4-FFF2-40B4-BE49-F238E27FC236}">
              <a16:creationId xmlns:a16="http://schemas.microsoft.com/office/drawing/2014/main" xmlns="" id="{00000000-0008-0000-0800-0000F4830000}"/>
            </a:ext>
          </a:extLst>
        </xdr:cNvPr>
        <xdr:cNvPicPr>
          <a:picLocks noChangeAspect="1" noChangeArrowheads="1"/>
        </xdr:cNvPicPr>
      </xdr:nvPicPr>
      <xdr:blipFill>
        <a:blip xmlns:r="http://schemas.openxmlformats.org/officeDocument/2006/relationships" r:embed="rId2" r:link="rId1" cstate="print">
          <a:extLst>
            <a:ext uri="{28A0092B-C50C-407E-A947-70E740481C1C}">
              <a14:useLocalDpi xmlns:a14="http://schemas.microsoft.com/office/drawing/2010/main" val="0"/>
            </a:ext>
          </a:extLst>
        </a:blip>
        <a:srcRect/>
        <a:stretch>
          <a:fillRect/>
        </a:stretch>
      </xdr:blipFill>
      <xdr:spPr bwMode="auto">
        <a:xfrm>
          <a:off x="9525" y="56902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1095375</xdr:colOff>
      <xdr:row>280</xdr:row>
      <xdr:rowOff>123825</xdr:rowOff>
    </xdr:from>
    <xdr:to>
      <xdr:col>14</xdr:col>
      <xdr:colOff>1895475</xdr:colOff>
      <xdr:row>281</xdr:row>
      <xdr:rowOff>152400</xdr:rowOff>
    </xdr:to>
    <xdr:pic>
      <xdr:nvPicPr>
        <xdr:cNvPr id="33781" name="Picture 5" descr="C:\WINDOWS\TEMP\~0003946.gif">
          <a:extLst>
            <a:ext uri="{FF2B5EF4-FFF2-40B4-BE49-F238E27FC236}">
              <a16:creationId xmlns:a16="http://schemas.microsoft.com/office/drawing/2014/main" xmlns="" id="{00000000-0008-0000-0800-0000F58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56864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1123950</xdr:colOff>
      <xdr:row>181</xdr:row>
      <xdr:rowOff>152400</xdr:rowOff>
    </xdr:from>
    <xdr:to>
      <xdr:col>14</xdr:col>
      <xdr:colOff>1924050</xdr:colOff>
      <xdr:row>182</xdr:row>
      <xdr:rowOff>180975</xdr:rowOff>
    </xdr:to>
    <xdr:pic>
      <xdr:nvPicPr>
        <xdr:cNvPr id="33782" name="Picture 6" descr="C:\WINDOWS\TEMP\~0003946.gif">
          <a:extLst>
            <a:ext uri="{FF2B5EF4-FFF2-40B4-BE49-F238E27FC236}">
              <a16:creationId xmlns:a16="http://schemas.microsoft.com/office/drawing/2014/main" xmlns="" id="{00000000-0008-0000-0800-0000F68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3700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114</xdr:row>
      <xdr:rowOff>161925</xdr:rowOff>
    </xdr:from>
    <xdr:to>
      <xdr:col>14</xdr:col>
      <xdr:colOff>1952625</xdr:colOff>
      <xdr:row>115</xdr:row>
      <xdr:rowOff>190500</xdr:rowOff>
    </xdr:to>
    <xdr:pic>
      <xdr:nvPicPr>
        <xdr:cNvPr id="33783" name="Picture 7" descr="C:\WINDOWS\TEMP\~0003946.gif">
          <a:extLst>
            <a:ext uri="{FF2B5EF4-FFF2-40B4-BE49-F238E27FC236}">
              <a16:creationId xmlns:a16="http://schemas.microsoft.com/office/drawing/2014/main" xmlns="" id="{00000000-0008-0000-0800-0000F78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2351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1152525</xdr:colOff>
      <xdr:row>50</xdr:row>
      <xdr:rowOff>161925</xdr:rowOff>
    </xdr:from>
    <xdr:to>
      <xdr:col>14</xdr:col>
      <xdr:colOff>1952625</xdr:colOff>
      <xdr:row>51</xdr:row>
      <xdr:rowOff>190500</xdr:rowOff>
    </xdr:to>
    <xdr:pic>
      <xdr:nvPicPr>
        <xdr:cNvPr id="33784" name="Picture 8" descr="C:\WINDOWS\TEMP\~0003946.gif">
          <a:extLst>
            <a:ext uri="{FF2B5EF4-FFF2-40B4-BE49-F238E27FC236}">
              <a16:creationId xmlns:a16="http://schemas.microsoft.com/office/drawing/2014/main" xmlns="" id="{00000000-0008-0000-0800-0000F88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02250" y="10267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50</xdr:row>
      <xdr:rowOff>123825</xdr:rowOff>
    </xdr:from>
    <xdr:to>
      <xdr:col>14</xdr:col>
      <xdr:colOff>885825</xdr:colOff>
      <xdr:row>51</xdr:row>
      <xdr:rowOff>152400</xdr:rowOff>
    </xdr:to>
    <xdr:pic>
      <xdr:nvPicPr>
        <xdr:cNvPr id="33785" name="Picture 9" descr="C:\WINDOWS\TEMP\~0003946.gif">
          <a:extLst>
            <a:ext uri="{FF2B5EF4-FFF2-40B4-BE49-F238E27FC236}">
              <a16:creationId xmlns:a16="http://schemas.microsoft.com/office/drawing/2014/main" xmlns="" id="{00000000-0008-0000-0800-0000F98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78325" y="10229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114</xdr:row>
      <xdr:rowOff>123825</xdr:rowOff>
    </xdr:from>
    <xdr:to>
      <xdr:col>14</xdr:col>
      <xdr:colOff>895350</xdr:colOff>
      <xdr:row>115</xdr:row>
      <xdr:rowOff>152400</xdr:rowOff>
    </xdr:to>
    <xdr:pic>
      <xdr:nvPicPr>
        <xdr:cNvPr id="33786" name="Picture 10" descr="C:\WINDOWS\TEMP\~0003946.gif">
          <a:extLst>
            <a:ext uri="{FF2B5EF4-FFF2-40B4-BE49-F238E27FC236}">
              <a16:creationId xmlns:a16="http://schemas.microsoft.com/office/drawing/2014/main" xmlns="" id="{00000000-0008-0000-0800-0000FA8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23479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181</xdr:row>
      <xdr:rowOff>104775</xdr:rowOff>
    </xdr:from>
    <xdr:to>
      <xdr:col>14</xdr:col>
      <xdr:colOff>809625</xdr:colOff>
      <xdr:row>182</xdr:row>
      <xdr:rowOff>133350</xdr:rowOff>
    </xdr:to>
    <xdr:pic>
      <xdr:nvPicPr>
        <xdr:cNvPr id="33787" name="Picture 11" descr="C:\WINDOWS\TEMP\~0003946.gif">
          <a:extLst>
            <a:ext uri="{FF2B5EF4-FFF2-40B4-BE49-F238E27FC236}">
              <a16:creationId xmlns:a16="http://schemas.microsoft.com/office/drawing/2014/main" xmlns="" id="{00000000-0008-0000-0800-0000FB8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02125" y="36957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95250</xdr:colOff>
      <xdr:row>280</xdr:row>
      <xdr:rowOff>104775</xdr:rowOff>
    </xdr:from>
    <xdr:to>
      <xdr:col>14</xdr:col>
      <xdr:colOff>895350</xdr:colOff>
      <xdr:row>281</xdr:row>
      <xdr:rowOff>133350</xdr:rowOff>
    </xdr:to>
    <xdr:pic>
      <xdr:nvPicPr>
        <xdr:cNvPr id="33788" name="Picture 12" descr="C:\WINDOWS\TEMP\~0003946.gif">
          <a:extLst>
            <a:ext uri="{FF2B5EF4-FFF2-40B4-BE49-F238E27FC236}">
              <a16:creationId xmlns:a16="http://schemas.microsoft.com/office/drawing/2014/main" xmlns="" id="{00000000-0008-0000-0800-0000FC8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7087850" y="56845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447675</xdr:colOff>
      <xdr:row>50</xdr:row>
      <xdr:rowOff>38100</xdr:rowOff>
    </xdr:from>
    <xdr:to>
      <xdr:col>14</xdr:col>
      <xdr:colOff>0</xdr:colOff>
      <xdr:row>51</xdr:row>
      <xdr:rowOff>161925</xdr:rowOff>
    </xdr:to>
    <xdr:pic>
      <xdr:nvPicPr>
        <xdr:cNvPr id="33789" name="Picture 13" descr="logoMTL">
          <a:extLst>
            <a:ext uri="{FF2B5EF4-FFF2-40B4-BE49-F238E27FC236}">
              <a16:creationId xmlns:a16="http://schemas.microsoft.com/office/drawing/2014/main" xmlns="" id="{00000000-0008-0000-0800-0000FD8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82975" y="101441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114</xdr:row>
      <xdr:rowOff>38100</xdr:rowOff>
    </xdr:from>
    <xdr:to>
      <xdr:col>13</xdr:col>
      <xdr:colOff>1171575</xdr:colOff>
      <xdr:row>115</xdr:row>
      <xdr:rowOff>161925</xdr:rowOff>
    </xdr:to>
    <xdr:pic>
      <xdr:nvPicPr>
        <xdr:cNvPr id="33790" name="Picture 14" descr="logoMTL">
          <a:extLst>
            <a:ext uri="{FF2B5EF4-FFF2-40B4-BE49-F238E27FC236}">
              <a16:creationId xmlns:a16="http://schemas.microsoft.com/office/drawing/2014/main" xmlns="" id="{00000000-0008-0000-0800-0000FE8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23393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371475</xdr:colOff>
      <xdr:row>181</xdr:row>
      <xdr:rowOff>28575</xdr:rowOff>
    </xdr:from>
    <xdr:to>
      <xdr:col>13</xdr:col>
      <xdr:colOff>1171575</xdr:colOff>
      <xdr:row>182</xdr:row>
      <xdr:rowOff>152400</xdr:rowOff>
    </xdr:to>
    <xdr:pic>
      <xdr:nvPicPr>
        <xdr:cNvPr id="33791" name="Picture 15" descr="logoMTL">
          <a:extLst>
            <a:ext uri="{FF2B5EF4-FFF2-40B4-BE49-F238E27FC236}">
              <a16:creationId xmlns:a16="http://schemas.microsoft.com/office/drawing/2014/main" xmlns="" id="{00000000-0008-0000-0800-0000FF8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06775" y="36880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419100</xdr:colOff>
      <xdr:row>280</xdr:row>
      <xdr:rowOff>0</xdr:rowOff>
    </xdr:from>
    <xdr:to>
      <xdr:col>13</xdr:col>
      <xdr:colOff>1228725</xdr:colOff>
      <xdr:row>281</xdr:row>
      <xdr:rowOff>123825</xdr:rowOff>
    </xdr:to>
    <xdr:pic>
      <xdr:nvPicPr>
        <xdr:cNvPr id="60416" name="Picture 16" descr="logoMTL">
          <a:extLst>
            <a:ext uri="{FF2B5EF4-FFF2-40B4-BE49-F238E27FC236}">
              <a16:creationId xmlns:a16="http://schemas.microsoft.com/office/drawing/2014/main" xmlns="" id="{00000000-0008-0000-0800-000000E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54400" y="56740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New Branding">
      <a:dk1>
        <a:sysClr val="windowText" lastClr="000000"/>
      </a:dk1>
      <a:lt1>
        <a:sysClr val="window" lastClr="FFFFFF"/>
      </a:lt1>
      <a:dk2>
        <a:srgbClr val="44546A"/>
      </a:dk2>
      <a:lt2>
        <a:srgbClr val="E7E6E6"/>
      </a:lt2>
      <a:accent1>
        <a:srgbClr val="89CB31"/>
      </a:accent1>
      <a:accent2>
        <a:srgbClr val="D0EBAB"/>
      </a:accent2>
      <a:accent3>
        <a:srgbClr val="2D2926"/>
      </a:accent3>
      <a:accent4>
        <a:srgbClr val="F0F0F0"/>
      </a:accent4>
      <a:accent5>
        <a:srgbClr val="5B8721"/>
      </a:accent5>
      <a:accent6>
        <a:srgbClr val="009999"/>
      </a:accent6>
      <a:hlink>
        <a:srgbClr val="BDFFEE"/>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aragon-group.co.uk/"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IV281"/>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1.1796875" style="1" customWidth="1"/>
    <col min="3" max="3" width="2.1796875" style="1" customWidth="1"/>
    <col min="4" max="4" width="17.90625" style="1" customWidth="1"/>
    <col min="5" max="5" width="2.36328125" style="1" customWidth="1"/>
    <col min="6" max="6" width="14.9062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4.0800000000000003E-2</v>
      </c>
      <c r="L16" s="17" t="s">
        <v>133</v>
      </c>
      <c r="M16" s="129">
        <v>0.95920000000000005</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39258</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2"/>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2"/>
      <c r="N22" s="12"/>
      <c r="O22" s="8"/>
      <c r="P22" s="5"/>
    </row>
    <row r="23" spans="1:16" ht="15.6" x14ac:dyDescent="0.3">
      <c r="A23" s="24"/>
      <c r="B23" s="25" t="s">
        <v>7</v>
      </c>
      <c r="C23" s="26"/>
      <c r="D23" s="26" t="s">
        <v>134</v>
      </c>
      <c r="E23" s="26"/>
      <c r="F23" s="26" t="s">
        <v>152</v>
      </c>
      <c r="G23" s="26"/>
      <c r="H23" s="26" t="s">
        <v>135</v>
      </c>
      <c r="I23" s="26"/>
      <c r="J23" s="26"/>
      <c r="K23" s="26"/>
      <c r="L23" s="26"/>
      <c r="M23" s="27"/>
      <c r="N23" s="27"/>
      <c r="O23" s="25"/>
      <c r="P23" s="5"/>
    </row>
    <row r="24" spans="1:16" ht="15.6" x14ac:dyDescent="0.3">
      <c r="A24" s="28"/>
      <c r="B24" s="124" t="s">
        <v>162</v>
      </c>
      <c r="C24" s="118"/>
      <c r="D24" s="26" t="s">
        <v>134</v>
      </c>
      <c r="E24" s="26"/>
      <c r="F24" s="26" t="s">
        <v>152</v>
      </c>
      <c r="G24" s="26"/>
      <c r="H24" s="26" t="s">
        <v>135</v>
      </c>
      <c r="I24" s="26"/>
      <c r="J24" s="26"/>
      <c r="K24" s="118"/>
      <c r="L24" s="26"/>
      <c r="M24" s="27"/>
      <c r="N24" s="27"/>
      <c r="O24" s="25"/>
      <c r="P24" s="5"/>
    </row>
    <row r="25" spans="1:16" ht="15.6" x14ac:dyDescent="0.3">
      <c r="A25" s="24"/>
      <c r="B25" s="29" t="s">
        <v>163</v>
      </c>
      <c r="C25" s="26"/>
      <c r="D25" s="118" t="s">
        <v>134</v>
      </c>
      <c r="E25" s="118"/>
      <c r="F25" s="118" t="s">
        <v>152</v>
      </c>
      <c r="G25" s="118"/>
      <c r="H25" s="118" t="s">
        <v>135</v>
      </c>
      <c r="I25" s="118"/>
      <c r="J25" s="118"/>
      <c r="K25" s="26"/>
      <c r="L25" s="30"/>
      <c r="M25" s="27"/>
      <c r="N25" s="27"/>
      <c r="O25" s="25"/>
      <c r="P25" s="5"/>
    </row>
    <row r="26" spans="1:16" ht="15.6" x14ac:dyDescent="0.3">
      <c r="A26" s="24"/>
      <c r="B26" s="143" t="s">
        <v>164</v>
      </c>
      <c r="C26" s="26"/>
      <c r="D26" s="118" t="s">
        <v>134</v>
      </c>
      <c r="E26" s="118"/>
      <c r="F26" s="118" t="s">
        <v>152</v>
      </c>
      <c r="G26" s="118"/>
      <c r="H26" s="118" t="s">
        <v>135</v>
      </c>
      <c r="I26" s="118"/>
      <c r="J26" s="118"/>
      <c r="K26" s="26"/>
      <c r="L26" s="30"/>
      <c r="M26" s="27"/>
      <c r="N26" s="27"/>
      <c r="O26" s="25"/>
      <c r="P26" s="5"/>
    </row>
    <row r="27" spans="1:16" ht="15.6" x14ac:dyDescent="0.3">
      <c r="A27" s="24"/>
      <c r="B27" s="25" t="s">
        <v>8</v>
      </c>
      <c r="C27" s="32"/>
      <c r="D27" s="26" t="s">
        <v>218</v>
      </c>
      <c r="E27" s="26"/>
      <c r="F27" s="26" t="s">
        <v>219</v>
      </c>
      <c r="G27" s="26"/>
      <c r="H27" s="26" t="s">
        <v>220</v>
      </c>
      <c r="I27" s="26"/>
      <c r="J27" s="26"/>
      <c r="K27" s="31"/>
      <c r="L27" s="31"/>
      <c r="M27" s="33"/>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260500</v>
      </c>
      <c r="E29" s="31"/>
      <c r="F29" s="31">
        <f>F28*F32</f>
        <v>4050</v>
      </c>
      <c r="G29" s="31"/>
      <c r="H29" s="31">
        <f>H28*H32</f>
        <v>4050</v>
      </c>
      <c r="I29" s="31"/>
      <c r="J29" s="119"/>
      <c r="K29" s="31"/>
      <c r="L29" s="31"/>
      <c r="M29" s="33"/>
      <c r="N29" s="31">
        <f>SUM(D29:H29)</f>
        <v>268600</v>
      </c>
      <c r="O29" s="34"/>
      <c r="P29" s="5"/>
    </row>
    <row r="30" spans="1:16" ht="15.6" x14ac:dyDescent="0.3">
      <c r="A30" s="24"/>
      <c r="B30" s="29" t="s">
        <v>130</v>
      </c>
      <c r="C30" s="32"/>
      <c r="D30" s="35">
        <f>D28*D31</f>
        <v>228085.41190000001</v>
      </c>
      <c r="E30" s="35"/>
      <c r="F30" s="35">
        <f>F28*F31</f>
        <v>4050</v>
      </c>
      <c r="G30" s="35"/>
      <c r="H30" s="35">
        <f>H28*H31</f>
        <v>4050</v>
      </c>
      <c r="I30" s="35"/>
      <c r="J30" s="120"/>
      <c r="K30" s="31"/>
      <c r="L30" s="31"/>
      <c r="M30" s="33"/>
      <c r="N30" s="145">
        <f>SUM(D30:I30)</f>
        <v>236185.41190000001</v>
      </c>
      <c r="O30" s="34"/>
      <c r="P30" s="5"/>
    </row>
    <row r="31" spans="1:16" ht="15.6" x14ac:dyDescent="0.3">
      <c r="A31" s="24"/>
      <c r="B31" s="117" t="s">
        <v>126</v>
      </c>
      <c r="C31" s="25"/>
      <c r="D31" s="171">
        <v>0.87556780000000001</v>
      </c>
      <c r="E31" s="171"/>
      <c r="F31" s="171">
        <v>1</v>
      </c>
      <c r="G31" s="171"/>
      <c r="H31" s="171">
        <v>1</v>
      </c>
      <c r="I31" s="128"/>
      <c r="J31" s="128"/>
      <c r="K31" s="30"/>
      <c r="L31" s="30"/>
      <c r="M31" s="27"/>
      <c r="N31" s="27"/>
      <c r="O31" s="25"/>
      <c r="P31" s="5"/>
    </row>
    <row r="32" spans="1:16" ht="15.6" x14ac:dyDescent="0.3">
      <c r="A32" s="24"/>
      <c r="B32" s="117" t="s">
        <v>127</v>
      </c>
      <c r="C32" s="25"/>
      <c r="D32" s="171">
        <v>1</v>
      </c>
      <c r="E32" s="171"/>
      <c r="F32" s="171">
        <v>1</v>
      </c>
      <c r="G32" s="171"/>
      <c r="H32" s="171">
        <v>1</v>
      </c>
      <c r="I32" s="128"/>
      <c r="J32" s="128"/>
      <c r="K32" s="39"/>
      <c r="L32" s="38"/>
      <c r="M32" s="27"/>
      <c r="N32" s="39"/>
      <c r="O32" s="25"/>
      <c r="P32" s="5"/>
    </row>
    <row r="33" spans="1:17" ht="15.6" x14ac:dyDescent="0.3">
      <c r="A33" s="24"/>
      <c r="B33" s="25" t="s">
        <v>9</v>
      </c>
      <c r="C33" s="25"/>
      <c r="D33" s="30" t="s">
        <v>192</v>
      </c>
      <c r="E33" s="30"/>
      <c r="F33" s="30" t="s">
        <v>194</v>
      </c>
      <c r="G33" s="30"/>
      <c r="H33" s="30" t="s">
        <v>196</v>
      </c>
      <c r="I33" s="30"/>
      <c r="J33" s="30"/>
      <c r="K33" s="39"/>
      <c r="L33" s="38"/>
      <c r="M33" s="27"/>
      <c r="N33" s="27"/>
      <c r="O33" s="25"/>
      <c r="P33" s="5"/>
    </row>
    <row r="34" spans="1:17" ht="15.6" x14ac:dyDescent="0.3">
      <c r="A34" s="24"/>
      <c r="B34" s="25" t="s">
        <v>10</v>
      </c>
      <c r="C34" s="25"/>
      <c r="D34" s="38">
        <v>5.7830199999999998E-2</v>
      </c>
      <c r="E34" s="39"/>
      <c r="F34" s="38">
        <v>5.8430200000000002E-2</v>
      </c>
      <c r="G34" s="39"/>
      <c r="H34" s="38">
        <v>5.9430200000000002E-2</v>
      </c>
      <c r="I34" s="39"/>
      <c r="J34" s="38"/>
      <c r="K34" s="39"/>
      <c r="L34" s="38"/>
      <c r="M34" s="27"/>
      <c r="N34" s="39">
        <f>SUMPRODUCT(D34:H34,D28:H28)/N28</f>
        <v>5.7863372002978399E-2</v>
      </c>
      <c r="O34" s="25"/>
      <c r="P34" s="5"/>
    </row>
    <row r="35" spans="1:17" ht="15.6" x14ac:dyDescent="0.3">
      <c r="A35" s="24"/>
      <c r="B35" s="25" t="s">
        <v>11</v>
      </c>
      <c r="C35" s="25"/>
      <c r="D35" s="38">
        <v>0</v>
      </c>
      <c r="E35" s="38"/>
      <c r="F35" s="38">
        <v>0</v>
      </c>
      <c r="G35" s="38"/>
      <c r="H35" s="38">
        <v>0</v>
      </c>
      <c r="I35" s="38"/>
      <c r="J35" s="38"/>
      <c r="K35" s="39"/>
      <c r="L35" s="38"/>
      <c r="M35" s="27"/>
      <c r="N35" s="39" t="s">
        <v>165</v>
      </c>
      <c r="O35" s="25"/>
      <c r="P35" s="5"/>
    </row>
    <row r="36" spans="1:17" ht="15.6" x14ac:dyDescent="0.3">
      <c r="A36" s="24"/>
      <c r="B36" s="25" t="s">
        <v>12</v>
      </c>
      <c r="C36" s="25"/>
      <c r="D36" s="105">
        <v>40617</v>
      </c>
      <c r="E36" s="105"/>
      <c r="F36" s="105">
        <v>40617</v>
      </c>
      <c r="G36" s="105"/>
      <c r="H36" s="105">
        <v>40617</v>
      </c>
      <c r="I36" s="105"/>
      <c r="J36" s="105"/>
      <c r="K36" s="30"/>
      <c r="L36" s="30"/>
      <c r="M36" s="27"/>
      <c r="N36" s="27"/>
      <c r="O36" s="25"/>
      <c r="P36" s="5"/>
    </row>
    <row r="37" spans="1:17" ht="15.6" x14ac:dyDescent="0.3">
      <c r="A37" s="24"/>
      <c r="B37" s="25" t="s">
        <v>13</v>
      </c>
      <c r="C37" s="25"/>
      <c r="D37" s="105">
        <v>40983</v>
      </c>
      <c r="E37" s="30"/>
      <c r="F37" s="105">
        <v>40983</v>
      </c>
      <c r="G37" s="30"/>
      <c r="H37" s="105">
        <v>40983</v>
      </c>
      <c r="I37" s="30"/>
      <c r="J37" s="105"/>
      <c r="K37" s="30"/>
      <c r="L37" s="30"/>
      <c r="M37" s="27"/>
      <c r="N37" s="27"/>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0"/>
      <c r="G39" s="30"/>
      <c r="H39" s="30"/>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3.5513012132276575E-2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39248</v>
      </c>
      <c r="O45" s="25"/>
      <c r="P45" s="5"/>
    </row>
    <row r="46" spans="1:17" ht="15.6" x14ac:dyDescent="0.3">
      <c r="A46" s="24"/>
      <c r="B46" s="25" t="s">
        <v>119</v>
      </c>
      <c r="C46" s="25"/>
      <c r="D46" s="56"/>
      <c r="E46" s="56"/>
      <c r="F46" s="56"/>
      <c r="G46" s="56"/>
      <c r="H46" s="56"/>
      <c r="I46" s="56"/>
      <c r="J46" s="56"/>
      <c r="K46" s="56"/>
      <c r="L46" s="44"/>
      <c r="M46" s="45"/>
      <c r="N46" s="44"/>
      <c r="O46" s="25"/>
      <c r="P46" s="5"/>
    </row>
    <row r="47" spans="1:17" ht="15.6" x14ac:dyDescent="0.3">
      <c r="A47" s="24"/>
      <c r="B47" s="25" t="s">
        <v>120</v>
      </c>
      <c r="C47" s="25"/>
      <c r="D47" s="25"/>
      <c r="E47" s="25"/>
      <c r="F47" s="25"/>
      <c r="G47" s="25"/>
      <c r="H47" s="25"/>
      <c r="I47" s="25"/>
      <c r="J47" s="25">
        <f>+N47-L47+1</f>
        <v>141</v>
      </c>
      <c r="K47" s="25"/>
      <c r="L47" s="44">
        <v>39107</v>
      </c>
      <c r="M47" s="45"/>
      <c r="N47" s="44">
        <v>39247</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39234</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191</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268565</v>
      </c>
      <c r="G57" s="34"/>
      <c r="H57" s="34">
        <f>32345+35+8212</f>
        <v>40592</v>
      </c>
      <c r="I57" s="34"/>
      <c r="J57" s="34">
        <v>8212</v>
      </c>
      <c r="K57" s="34"/>
      <c r="L57" s="34">
        <v>0</v>
      </c>
      <c r="M57" s="34"/>
      <c r="N57" s="52">
        <f>+D57-H57+J57-L57</f>
        <v>236185</v>
      </c>
      <c r="O57" s="25"/>
      <c r="P57" s="5"/>
    </row>
    <row r="58" spans="1:16" ht="15.6" x14ac:dyDescent="0.3">
      <c r="A58" s="24"/>
      <c r="B58" s="25" t="s">
        <v>209</v>
      </c>
      <c r="C58" s="34"/>
      <c r="D58" s="34">
        <v>756</v>
      </c>
      <c r="E58" s="34"/>
      <c r="F58" s="52">
        <v>756</v>
      </c>
      <c r="G58" s="34"/>
      <c r="H58" s="34">
        <v>68</v>
      </c>
      <c r="I58" s="34"/>
      <c r="J58" s="34">
        <v>0</v>
      </c>
      <c r="K58" s="34"/>
      <c r="L58" s="34">
        <v>0</v>
      </c>
      <c r="M58" s="34"/>
      <c r="N58" s="52">
        <f>+D58-H58</f>
        <v>688</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269321</v>
      </c>
      <c r="G60" s="34"/>
      <c r="H60" s="34">
        <f>SUM(H57:H59)</f>
        <v>40660</v>
      </c>
      <c r="I60" s="34"/>
      <c r="J60" s="34">
        <f>SUM(J57:J59)</f>
        <v>8212</v>
      </c>
      <c r="K60" s="34"/>
      <c r="L60" s="34">
        <f>SUM(L57:L59)</f>
        <v>0</v>
      </c>
      <c r="M60" s="34"/>
      <c r="N60" s="53">
        <f>SUM(N57:N59)</f>
        <v>236873</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-756</v>
      </c>
      <c r="G69" s="34"/>
      <c r="H69" s="34"/>
      <c r="I69" s="34"/>
      <c r="J69" s="34"/>
      <c r="K69" s="34"/>
      <c r="L69" s="34"/>
      <c r="M69" s="34"/>
      <c r="N69" s="52">
        <f>-N58</f>
        <v>-688</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35</v>
      </c>
      <c r="G71" s="34"/>
      <c r="H71" s="34">
        <v>-35</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268600</v>
      </c>
      <c r="G73" s="34"/>
      <c r="H73" s="34"/>
      <c r="I73" s="34"/>
      <c r="J73" s="34"/>
      <c r="K73" s="34"/>
      <c r="L73" s="53"/>
      <c r="M73" s="34"/>
      <c r="N73" s="53">
        <f>SUM(N60:N72)</f>
        <v>236185</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+L183</f>
        <v>39233</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35</v>
      </c>
      <c r="M77" s="25"/>
      <c r="N77" s="52">
        <v>13</v>
      </c>
      <c r="O77" s="25"/>
      <c r="P77" s="5"/>
    </row>
    <row r="78" spans="1:16" ht="15.6" x14ac:dyDescent="0.3">
      <c r="A78" s="24"/>
      <c r="B78" s="25" t="s">
        <v>27</v>
      </c>
      <c r="C78" s="25"/>
      <c r="D78" s="40"/>
      <c r="E78" s="25"/>
      <c r="F78" s="121"/>
      <c r="G78" s="25"/>
      <c r="H78" s="25"/>
      <c r="I78" s="25"/>
      <c r="J78" s="25"/>
      <c r="K78" s="25"/>
      <c r="L78" s="34">
        <f>40592-34</f>
        <v>40558</v>
      </c>
      <c r="M78" s="25"/>
      <c r="N78" s="52"/>
      <c r="O78" s="25"/>
      <c r="P78" s="5"/>
    </row>
    <row r="79" spans="1:16" ht="15.6" x14ac:dyDescent="0.3">
      <c r="A79" s="24"/>
      <c r="B79" s="25" t="s">
        <v>176</v>
      </c>
      <c r="C79" s="25"/>
      <c r="D79" s="40"/>
      <c r="E79" s="25"/>
      <c r="F79" s="121"/>
      <c r="G79" s="25"/>
      <c r="H79" s="25"/>
      <c r="I79" s="25"/>
      <c r="J79" s="25"/>
      <c r="K79" s="25"/>
      <c r="L79" s="34"/>
      <c r="M79" s="25"/>
      <c r="N79" s="52">
        <f>11514+525+4160-13050-160-1379</f>
        <v>1610</v>
      </c>
      <c r="O79" s="25"/>
      <c r="P79" s="5"/>
    </row>
    <row r="80" spans="1:16" ht="15.6" x14ac:dyDescent="0.3">
      <c r="A80" s="24"/>
      <c r="B80" s="25" t="s">
        <v>174</v>
      </c>
      <c r="C80" s="25"/>
      <c r="D80" s="40"/>
      <c r="E80" s="25"/>
      <c r="F80" s="121"/>
      <c r="G80" s="25"/>
      <c r="H80" s="25"/>
      <c r="I80" s="25"/>
      <c r="J80" s="25"/>
      <c r="K80" s="25"/>
      <c r="L80" s="34"/>
      <c r="M80" s="25"/>
      <c r="N80" s="52">
        <f>327+7+125</f>
        <v>459</v>
      </c>
      <c r="O80" s="25"/>
      <c r="P80" s="5"/>
    </row>
    <row r="81" spans="1:17" ht="15.6" x14ac:dyDescent="0.3">
      <c r="A81" s="24"/>
      <c r="B81" s="25" t="s">
        <v>175</v>
      </c>
      <c r="C81" s="25"/>
      <c r="D81" s="40"/>
      <c r="E81" s="25"/>
      <c r="F81" s="121"/>
      <c r="G81" s="25"/>
      <c r="H81" s="25"/>
      <c r="I81" s="25"/>
      <c r="J81" s="25"/>
      <c r="K81" s="25"/>
      <c r="L81" s="34"/>
      <c r="M81" s="25"/>
      <c r="N81" s="52">
        <v>297</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0</v>
      </c>
      <c r="O83" s="25"/>
      <c r="P83" s="5"/>
    </row>
    <row r="84" spans="1:17" ht="15.6" x14ac:dyDescent="0.3">
      <c r="A84" s="24"/>
      <c r="B84" s="25" t="s">
        <v>28</v>
      </c>
      <c r="C84" s="25"/>
      <c r="D84" s="25"/>
      <c r="E84" s="25"/>
      <c r="F84" s="25"/>
      <c r="G84" s="25"/>
      <c r="H84" s="25"/>
      <c r="I84" s="25"/>
      <c r="J84" s="25"/>
      <c r="K84" s="25"/>
      <c r="L84" s="34">
        <f>SUM(L77:L83)</f>
        <v>40593</v>
      </c>
      <c r="M84" s="25"/>
      <c r="N84" s="53">
        <f>SUM(N77:N83)</f>
        <v>2379</v>
      </c>
      <c r="O84" s="25"/>
      <c r="P84" s="5"/>
    </row>
    <row r="85" spans="1:17" ht="15.6" x14ac:dyDescent="0.3">
      <c r="A85" s="24"/>
      <c r="B85" s="25" t="s">
        <v>148</v>
      </c>
      <c r="C85" s="25"/>
      <c r="D85" s="25"/>
      <c r="E85" s="25"/>
      <c r="F85" s="25"/>
      <c r="G85" s="25"/>
      <c r="H85" s="25"/>
      <c r="I85" s="25"/>
      <c r="J85" s="25"/>
      <c r="K85" s="25"/>
      <c r="L85" s="34">
        <v>-5759</v>
      </c>
      <c r="M85" s="25"/>
      <c r="N85" s="53">
        <f>-L85</f>
        <v>5759</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30</v>
      </c>
      <c r="C87" s="25"/>
      <c r="D87" s="25"/>
      <c r="E87" s="25"/>
      <c r="F87" s="25"/>
      <c r="G87" s="25"/>
      <c r="H87" s="25"/>
      <c r="I87" s="25"/>
      <c r="J87" s="25"/>
      <c r="K87" s="25"/>
      <c r="L87" s="34">
        <f>L84+L86+L85</f>
        <v>34834</v>
      </c>
      <c r="M87" s="25"/>
      <c r="N87" s="53">
        <f>N84+N86+N85</f>
        <v>8138</v>
      </c>
      <c r="O87" s="25"/>
      <c r="P87" s="5"/>
    </row>
    <row r="88" spans="1:17" ht="15.6" x14ac:dyDescent="0.3">
      <c r="A88" s="24"/>
      <c r="B88" s="113" t="s">
        <v>31</v>
      </c>
      <c r="C88" s="25"/>
      <c r="D88" s="25"/>
      <c r="E88" s="25"/>
      <c r="F88" s="25"/>
      <c r="G88" s="25"/>
      <c r="H88" s="25"/>
      <c r="I88" s="25"/>
      <c r="J88" s="25"/>
      <c r="K88" s="25"/>
      <c r="L88" s="34"/>
      <c r="M88" s="25"/>
      <c r="N88" s="52"/>
      <c r="O88" s="25"/>
      <c r="P88" s="5"/>
    </row>
    <row r="89" spans="1:17" ht="15.6" x14ac:dyDescent="0.3">
      <c r="A89" s="24">
        <v>1</v>
      </c>
      <c r="B89" s="25" t="s">
        <v>32</v>
      </c>
      <c r="C89" s="25"/>
      <c r="D89" s="25"/>
      <c r="E89" s="25"/>
      <c r="F89" s="25"/>
      <c r="G89" s="25"/>
      <c r="H89" s="25"/>
      <c r="I89" s="25"/>
      <c r="J89" s="25"/>
      <c r="K89" s="25"/>
      <c r="L89" s="25"/>
      <c r="M89" s="25"/>
      <c r="N89" s="52">
        <v>0</v>
      </c>
      <c r="O89" s="25"/>
      <c r="P89" s="5"/>
    </row>
    <row r="90" spans="1:17" ht="15.6" x14ac:dyDescent="0.3">
      <c r="A90" s="24">
        <f>+A89+1</f>
        <v>2</v>
      </c>
      <c r="B90" s="25" t="s">
        <v>224</v>
      </c>
      <c r="C90" s="25"/>
      <c r="D90" s="25"/>
      <c r="E90" s="25"/>
      <c r="F90" s="25"/>
      <c r="G90" s="25"/>
      <c r="H90" s="25"/>
      <c r="I90" s="25"/>
      <c r="J90" s="25"/>
      <c r="K90" s="25"/>
      <c r="L90" s="25"/>
      <c r="M90" s="25"/>
      <c r="N90" s="52">
        <v>-2</v>
      </c>
      <c r="O90" s="25"/>
      <c r="P90" s="5"/>
    </row>
    <row r="91" spans="1:17" ht="15.6" x14ac:dyDescent="0.3">
      <c r="A91" s="24">
        <f>+A90+1</f>
        <v>3</v>
      </c>
      <c r="B91" s="25" t="s">
        <v>235</v>
      </c>
      <c r="C91" s="25"/>
      <c r="D91" s="25"/>
      <c r="E91" s="25"/>
      <c r="F91" s="25"/>
      <c r="G91" s="25"/>
      <c r="H91" s="25"/>
      <c r="I91" s="25"/>
      <c r="J91" s="25"/>
      <c r="K91" s="25"/>
      <c r="L91" s="25"/>
      <c r="M91" s="25"/>
      <c r="N91" s="52">
        <f>-140-15-5-26</f>
        <v>-186</v>
      </c>
      <c r="O91" s="25"/>
      <c r="P91" s="5"/>
    </row>
    <row r="92" spans="1:17" ht="15.6" x14ac:dyDescent="0.3">
      <c r="A92" s="24" t="s">
        <v>123</v>
      </c>
      <c r="B92" s="25" t="s">
        <v>116</v>
      </c>
      <c r="C92" s="25"/>
      <c r="D92" s="25"/>
      <c r="E92" s="25"/>
      <c r="F92" s="25"/>
      <c r="G92" s="25"/>
      <c r="H92" s="25"/>
      <c r="I92" s="25"/>
      <c r="J92" s="25"/>
      <c r="K92" s="25"/>
      <c r="L92" s="25"/>
      <c r="M92" s="25"/>
      <c r="N92" s="52">
        <v>0</v>
      </c>
      <c r="O92" s="25"/>
      <c r="P92" s="5"/>
    </row>
    <row r="93" spans="1:17" ht="15.6" x14ac:dyDescent="0.3">
      <c r="A93" s="24" t="s">
        <v>124</v>
      </c>
      <c r="B93" s="25" t="s">
        <v>214</v>
      </c>
      <c r="C93" s="25"/>
      <c r="D93" s="25"/>
      <c r="E93" s="25"/>
      <c r="F93" s="25"/>
      <c r="G93" s="25"/>
      <c r="H93" s="25"/>
      <c r="I93" s="25"/>
      <c r="J93" s="25"/>
      <c r="K93" s="25"/>
      <c r="L93" s="25"/>
      <c r="M93" s="25"/>
      <c r="N93" s="52">
        <v>-5820</v>
      </c>
      <c r="O93" s="25"/>
      <c r="P93" s="5"/>
    </row>
    <row r="94" spans="1:17" ht="15.6" x14ac:dyDescent="0.3">
      <c r="A94" s="24" t="s">
        <v>140</v>
      </c>
      <c r="B94" s="25" t="s">
        <v>180</v>
      </c>
      <c r="C94" s="25"/>
      <c r="D94" s="25"/>
      <c r="E94" s="25"/>
      <c r="F94" s="25"/>
      <c r="G94" s="25"/>
      <c r="H94" s="25"/>
      <c r="I94" s="25"/>
      <c r="J94" s="25"/>
      <c r="K94" s="25"/>
      <c r="L94" s="25"/>
      <c r="M94" s="25"/>
      <c r="N94" s="52">
        <v>-4</v>
      </c>
      <c r="O94" s="25"/>
      <c r="P94" s="5"/>
    </row>
    <row r="95" spans="1:17" ht="15.6" x14ac:dyDescent="0.3">
      <c r="A95" s="24" t="s">
        <v>169</v>
      </c>
      <c r="B95" s="25" t="s">
        <v>215</v>
      </c>
      <c r="C95" s="25"/>
      <c r="D95" s="25"/>
      <c r="E95" s="25"/>
      <c r="F95" s="25"/>
      <c r="G95" s="25"/>
      <c r="H95" s="25"/>
      <c r="I95" s="25"/>
      <c r="J95" s="25"/>
      <c r="K95" s="25"/>
      <c r="L95" s="25"/>
      <c r="M95" s="25"/>
      <c r="N95" s="52">
        <v>-91</v>
      </c>
      <c r="O95" s="25"/>
      <c r="P95" s="5"/>
      <c r="Q95" s="104"/>
    </row>
    <row r="96" spans="1:17" ht="15.6" x14ac:dyDescent="0.3">
      <c r="A96" s="24" t="s">
        <v>170</v>
      </c>
      <c r="B96" s="25" t="s">
        <v>216</v>
      </c>
      <c r="C96" s="25"/>
      <c r="D96" s="25"/>
      <c r="E96" s="25"/>
      <c r="F96" s="25"/>
      <c r="G96" s="25"/>
      <c r="H96" s="25"/>
      <c r="I96" s="25"/>
      <c r="J96" s="25"/>
      <c r="K96" s="25"/>
      <c r="L96" s="25"/>
      <c r="M96" s="25"/>
      <c r="N96" s="52">
        <v>-93</v>
      </c>
      <c r="O96" s="25"/>
      <c r="P96" s="5"/>
      <c r="Q96" s="104"/>
    </row>
    <row r="97" spans="1:16" ht="15.6" x14ac:dyDescent="0.3">
      <c r="A97" s="24">
        <v>7</v>
      </c>
      <c r="B97" s="25" t="s">
        <v>33</v>
      </c>
      <c r="C97" s="25"/>
      <c r="D97" s="25"/>
      <c r="E97" s="25"/>
      <c r="F97" s="25"/>
      <c r="G97" s="25"/>
      <c r="H97" s="25"/>
      <c r="I97" s="25"/>
      <c r="J97" s="25"/>
      <c r="K97" s="25"/>
      <c r="L97" s="25"/>
      <c r="M97" s="25"/>
      <c r="N97" s="52">
        <v>-15</v>
      </c>
      <c r="O97" s="25"/>
      <c r="P97" s="5"/>
    </row>
    <row r="98" spans="1:16" ht="15.6" x14ac:dyDescent="0.3">
      <c r="A98" s="24">
        <f t="shared" ref="A98:A104" si="0">+A97+1</f>
        <v>8</v>
      </c>
      <c r="B98" s="25" t="s">
        <v>42</v>
      </c>
      <c r="C98" s="25"/>
      <c r="D98" s="25"/>
      <c r="E98" s="25"/>
      <c r="F98" s="25"/>
      <c r="G98" s="25"/>
      <c r="H98" s="25"/>
      <c r="I98" s="25"/>
      <c r="J98" s="25"/>
      <c r="K98" s="25"/>
      <c r="L98" s="34">
        <f>-N98</f>
        <v>34</v>
      </c>
      <c r="M98" s="25"/>
      <c r="N98" s="52">
        <v>-34</v>
      </c>
      <c r="O98" s="25"/>
      <c r="P98" s="5"/>
    </row>
    <row r="99" spans="1:16" ht="15.6" x14ac:dyDescent="0.3">
      <c r="A99" s="24">
        <f t="shared" si="0"/>
        <v>9</v>
      </c>
      <c r="B99" s="25" t="s">
        <v>121</v>
      </c>
      <c r="C99" s="25"/>
      <c r="D99" s="25"/>
      <c r="E99" s="25"/>
      <c r="F99" s="25"/>
      <c r="G99" s="25"/>
      <c r="H99" s="25"/>
      <c r="I99" s="25"/>
      <c r="J99" s="25"/>
      <c r="K99" s="25"/>
      <c r="L99" s="25"/>
      <c r="M99" s="25"/>
      <c r="N99" s="52">
        <v>0</v>
      </c>
      <c r="O99" s="25"/>
      <c r="P99" s="5"/>
    </row>
    <row r="100" spans="1:16" ht="15.6" x14ac:dyDescent="0.3">
      <c r="A100" s="24">
        <f t="shared" si="0"/>
        <v>10</v>
      </c>
      <c r="B100" s="25" t="s">
        <v>182</v>
      </c>
      <c r="C100" s="25"/>
      <c r="D100" s="25"/>
      <c r="E100" s="25"/>
      <c r="F100" s="25"/>
      <c r="G100" s="25"/>
      <c r="H100" s="25"/>
      <c r="I100" s="25"/>
      <c r="J100" s="25"/>
      <c r="K100" s="25"/>
      <c r="L100" s="25"/>
      <c r="M100" s="25"/>
      <c r="N100" s="52">
        <v>0</v>
      </c>
      <c r="O100" s="25"/>
      <c r="P100" s="5"/>
    </row>
    <row r="101" spans="1:16" ht="15.6" x14ac:dyDescent="0.3">
      <c r="A101" s="24">
        <f t="shared" si="0"/>
        <v>11</v>
      </c>
      <c r="B101" s="25" t="s">
        <v>34</v>
      </c>
      <c r="C101" s="25"/>
      <c r="D101" s="25"/>
      <c r="E101" s="25"/>
      <c r="F101" s="25"/>
      <c r="G101" s="25"/>
      <c r="H101" s="25"/>
      <c r="I101" s="25"/>
      <c r="J101" s="25"/>
      <c r="K101" s="25"/>
      <c r="L101" s="25"/>
      <c r="M101" s="25"/>
      <c r="N101" s="52">
        <v>0</v>
      </c>
      <c r="O101" s="25"/>
      <c r="P101" s="5"/>
    </row>
    <row r="102" spans="1:16" ht="15.6" x14ac:dyDescent="0.3">
      <c r="A102" s="24">
        <f t="shared" si="0"/>
        <v>12</v>
      </c>
      <c r="B102" s="25" t="s">
        <v>181</v>
      </c>
      <c r="C102" s="25"/>
      <c r="D102" s="25"/>
      <c r="E102" s="25"/>
      <c r="F102" s="25"/>
      <c r="G102" s="25"/>
      <c r="H102" s="25"/>
      <c r="I102" s="25"/>
      <c r="J102" s="25"/>
      <c r="K102" s="25"/>
      <c r="L102" s="25"/>
      <c r="M102" s="25"/>
      <c r="N102" s="52">
        <v>0</v>
      </c>
      <c r="O102" s="25"/>
      <c r="P102" s="5"/>
    </row>
    <row r="103" spans="1:16" ht="15.6" x14ac:dyDescent="0.3">
      <c r="A103" s="24">
        <f t="shared" si="0"/>
        <v>13</v>
      </c>
      <c r="B103" s="25" t="s">
        <v>139</v>
      </c>
      <c r="C103" s="25"/>
      <c r="D103" s="25"/>
      <c r="E103" s="25"/>
      <c r="F103" s="25"/>
      <c r="G103" s="25"/>
      <c r="H103" s="25"/>
      <c r="I103" s="25"/>
      <c r="J103" s="25"/>
      <c r="K103" s="25"/>
      <c r="L103" s="25"/>
      <c r="M103" s="25"/>
      <c r="N103" s="52">
        <v>-140</v>
      </c>
      <c r="O103" s="25"/>
      <c r="P103" s="5"/>
    </row>
    <row r="104" spans="1:16" ht="15.6" x14ac:dyDescent="0.3">
      <c r="A104" s="24">
        <f t="shared" si="0"/>
        <v>14</v>
      </c>
      <c r="B104" s="25" t="s">
        <v>122</v>
      </c>
      <c r="C104" s="25"/>
      <c r="D104" s="25"/>
      <c r="E104" s="25"/>
      <c r="F104" s="25"/>
      <c r="G104" s="25"/>
      <c r="H104" s="25"/>
      <c r="I104" s="25"/>
      <c r="J104" s="25"/>
      <c r="K104" s="25"/>
      <c r="L104" s="25"/>
      <c r="M104" s="25"/>
      <c r="N104" s="52">
        <f>-N87-SUM(N89:N103)</f>
        <v>-1753</v>
      </c>
      <c r="O104" s="25"/>
      <c r="P104" s="5"/>
    </row>
    <row r="105" spans="1:16" ht="15.6" x14ac:dyDescent="0.3">
      <c r="A105" s="24"/>
      <c r="B105" s="113" t="s">
        <v>35</v>
      </c>
      <c r="C105" s="25"/>
      <c r="D105" s="25"/>
      <c r="E105" s="25"/>
      <c r="F105" s="25"/>
      <c r="G105" s="25"/>
      <c r="H105" s="25"/>
      <c r="I105" s="25"/>
      <c r="J105" s="25"/>
      <c r="K105" s="25"/>
      <c r="L105" s="25"/>
      <c r="M105" s="25"/>
      <c r="N105" s="57"/>
      <c r="O105" s="25"/>
      <c r="P105" s="5"/>
    </row>
    <row r="106" spans="1:16" ht="15.6" x14ac:dyDescent="0.3">
      <c r="A106" s="24"/>
      <c r="B106" s="25" t="s">
        <v>160</v>
      </c>
      <c r="C106" s="25"/>
      <c r="D106" s="25"/>
      <c r="E106" s="25"/>
      <c r="F106" s="25"/>
      <c r="G106" s="25"/>
      <c r="H106" s="25"/>
      <c r="I106" s="25"/>
      <c r="J106" s="25"/>
      <c r="K106" s="25"/>
      <c r="L106" s="34">
        <v>0</v>
      </c>
      <c r="M106" s="34"/>
      <c r="N106" s="52"/>
      <c r="O106" s="25"/>
      <c r="P106" s="5"/>
    </row>
    <row r="107" spans="1:16" ht="15.6" x14ac:dyDescent="0.3">
      <c r="A107" s="24"/>
      <c r="B107" s="25" t="s">
        <v>161</v>
      </c>
      <c r="C107" s="25"/>
      <c r="D107" s="25"/>
      <c r="E107" s="25"/>
      <c r="F107" s="25"/>
      <c r="G107" s="25"/>
      <c r="H107" s="25"/>
      <c r="I107" s="25"/>
      <c r="J107" s="25"/>
      <c r="K107" s="25"/>
      <c r="L107" s="34">
        <f>-2453</f>
        <v>-2453</v>
      </c>
      <c r="M107" s="34"/>
      <c r="N107" s="52"/>
      <c r="O107" s="25"/>
      <c r="P107" s="5"/>
    </row>
    <row r="108" spans="1:16" ht="15.6" x14ac:dyDescent="0.3">
      <c r="A108" s="24"/>
      <c r="B108" s="25" t="s">
        <v>200</v>
      </c>
      <c r="C108" s="25"/>
      <c r="D108" s="25"/>
      <c r="E108" s="25"/>
      <c r="F108" s="25"/>
      <c r="G108" s="25"/>
      <c r="H108" s="25"/>
      <c r="I108" s="25"/>
      <c r="J108" s="25"/>
      <c r="K108" s="25"/>
      <c r="L108" s="34">
        <v>-32415</v>
      </c>
      <c r="M108" s="34"/>
      <c r="N108" s="52"/>
      <c r="O108" s="25"/>
      <c r="P108" s="5"/>
    </row>
    <row r="109" spans="1:16" ht="15.6" x14ac:dyDescent="0.3">
      <c r="A109" s="24"/>
      <c r="B109" s="25" t="s">
        <v>201</v>
      </c>
      <c r="C109" s="25"/>
      <c r="D109" s="25"/>
      <c r="E109" s="25"/>
      <c r="F109" s="25"/>
      <c r="G109" s="25"/>
      <c r="H109" s="25"/>
      <c r="I109" s="25"/>
      <c r="J109" s="25"/>
      <c r="K109" s="25"/>
      <c r="L109" s="34">
        <v>0</v>
      </c>
      <c r="M109" s="34"/>
      <c r="N109" s="52"/>
      <c r="O109" s="25"/>
      <c r="P109" s="5"/>
    </row>
    <row r="110" spans="1:16" ht="15.6" x14ac:dyDescent="0.3">
      <c r="A110" s="24"/>
      <c r="B110" s="25" t="s">
        <v>202</v>
      </c>
      <c r="C110" s="25"/>
      <c r="D110" s="25"/>
      <c r="E110" s="25"/>
      <c r="F110" s="25"/>
      <c r="G110" s="25"/>
      <c r="H110" s="25"/>
      <c r="I110" s="25"/>
      <c r="J110" s="25"/>
      <c r="K110" s="25"/>
      <c r="L110" s="34">
        <v>0</v>
      </c>
      <c r="M110" s="34"/>
      <c r="N110" s="52"/>
      <c r="O110" s="25"/>
      <c r="P110" s="5"/>
    </row>
    <row r="111" spans="1:16" ht="15.6" x14ac:dyDescent="0.3">
      <c r="A111" s="24"/>
      <c r="B111" s="25" t="s">
        <v>36</v>
      </c>
      <c r="C111" s="25"/>
      <c r="D111" s="25"/>
      <c r="E111" s="25"/>
      <c r="F111" s="25"/>
      <c r="G111" s="25"/>
      <c r="H111" s="25"/>
      <c r="I111" s="25"/>
      <c r="J111" s="25"/>
      <c r="K111" s="25"/>
      <c r="L111" s="34">
        <f>SUM(L106:L110)</f>
        <v>-34868</v>
      </c>
      <c r="M111" s="34"/>
      <c r="N111" s="34">
        <f>SUM(N88:N109)</f>
        <v>-8138</v>
      </c>
      <c r="O111" s="25"/>
      <c r="P111" s="5"/>
    </row>
    <row r="112" spans="1:16" ht="15.6" x14ac:dyDescent="0.3">
      <c r="A112" s="24"/>
      <c r="B112" s="25" t="s">
        <v>37</v>
      </c>
      <c r="C112" s="25"/>
      <c r="D112" s="25"/>
      <c r="E112" s="25"/>
      <c r="F112" s="25"/>
      <c r="G112" s="25"/>
      <c r="H112" s="25"/>
      <c r="I112" s="25"/>
      <c r="J112" s="25"/>
      <c r="K112" s="25"/>
      <c r="L112" s="34">
        <f>L87+L111+L98</f>
        <v>0</v>
      </c>
      <c r="M112" s="34"/>
      <c r="N112" s="34">
        <f>N87+N111</f>
        <v>0</v>
      </c>
      <c r="O112" s="25"/>
      <c r="P112" s="5"/>
    </row>
    <row r="113" spans="1:17" ht="15.6" x14ac:dyDescent="0.3">
      <c r="A113" s="24"/>
      <c r="B113" s="25"/>
      <c r="C113" s="25"/>
      <c r="D113" s="25"/>
      <c r="E113" s="25"/>
      <c r="F113" s="25"/>
      <c r="G113" s="25"/>
      <c r="H113" s="25"/>
      <c r="I113" s="25"/>
      <c r="J113" s="25"/>
      <c r="K113" s="25"/>
      <c r="L113" s="34"/>
      <c r="M113" s="34"/>
      <c r="N113" s="34"/>
      <c r="O113" s="25"/>
      <c r="P113" s="5"/>
    </row>
    <row r="114" spans="1:17" ht="15.6" x14ac:dyDescent="0.3">
      <c r="A114" s="6"/>
      <c r="B114" s="8"/>
      <c r="C114" s="8"/>
      <c r="D114" s="8"/>
      <c r="E114" s="8"/>
      <c r="F114" s="8"/>
      <c r="G114" s="8"/>
      <c r="H114" s="8"/>
      <c r="I114" s="8"/>
      <c r="J114" s="8"/>
      <c r="K114" s="8"/>
      <c r="L114" s="8"/>
      <c r="M114" s="8"/>
      <c r="N114" s="51"/>
      <c r="O114" s="8"/>
      <c r="P114" s="5"/>
    </row>
    <row r="115" spans="1:17" ht="18" thickBot="1" x14ac:dyDescent="0.35">
      <c r="A115" s="96"/>
      <c r="B115" s="97" t="str">
        <f>B52</f>
        <v>FF7 INVESTOR REPORT QUARTER ENDING MAY 2007</v>
      </c>
      <c r="C115" s="98"/>
      <c r="D115" s="98"/>
      <c r="E115" s="98"/>
      <c r="F115" s="98"/>
      <c r="G115" s="98"/>
      <c r="H115" s="98"/>
      <c r="I115" s="98"/>
      <c r="J115" s="98"/>
      <c r="K115" s="98"/>
      <c r="L115" s="98"/>
      <c r="M115" s="98"/>
      <c r="N115" s="101"/>
      <c r="O115" s="100"/>
      <c r="P115" s="5"/>
    </row>
    <row r="116" spans="1:17" ht="15.6" x14ac:dyDescent="0.3">
      <c r="A116" s="2"/>
      <c r="B116" s="58" t="s">
        <v>38</v>
      </c>
      <c r="C116" s="4"/>
      <c r="D116" s="4"/>
      <c r="E116" s="4"/>
      <c r="F116" s="4"/>
      <c r="G116" s="4"/>
      <c r="H116" s="4"/>
      <c r="I116" s="4"/>
      <c r="J116" s="4"/>
      <c r="K116" s="4"/>
      <c r="L116" s="4"/>
      <c r="M116" s="4"/>
      <c r="N116" s="49"/>
      <c r="O116" s="4"/>
      <c r="P116" s="5"/>
    </row>
    <row r="117" spans="1:17" ht="15.6" x14ac:dyDescent="0.3">
      <c r="A117" s="6"/>
      <c r="B117" s="21"/>
      <c r="C117" s="8"/>
      <c r="D117" s="8"/>
      <c r="E117" s="8"/>
      <c r="F117" s="8"/>
      <c r="G117" s="8"/>
      <c r="H117" s="8"/>
      <c r="I117" s="8"/>
      <c r="J117" s="8"/>
      <c r="K117" s="8"/>
      <c r="L117" s="8"/>
      <c r="M117" s="8"/>
      <c r="N117" s="51"/>
      <c r="O117" s="8"/>
      <c r="P117" s="5"/>
    </row>
    <row r="118" spans="1:17" ht="15.6" x14ac:dyDescent="0.3">
      <c r="A118" s="6"/>
      <c r="B118" s="114" t="s">
        <v>39</v>
      </c>
      <c r="C118" s="8"/>
      <c r="D118" s="8"/>
      <c r="E118" s="8"/>
      <c r="F118" s="8"/>
      <c r="G118" s="8"/>
      <c r="H118" s="8"/>
      <c r="I118" s="8"/>
      <c r="J118" s="8"/>
      <c r="K118" s="8"/>
      <c r="L118" s="8"/>
      <c r="M118" s="8"/>
      <c r="N118" s="51"/>
      <c r="O118" s="8"/>
      <c r="P118" s="5"/>
    </row>
    <row r="119" spans="1:17" ht="15.6" x14ac:dyDescent="0.3">
      <c r="A119" s="24"/>
      <c r="B119" s="25" t="s">
        <v>40</v>
      </c>
      <c r="C119" s="25"/>
      <c r="D119" s="25"/>
      <c r="E119" s="25"/>
      <c r="F119" s="25"/>
      <c r="G119" s="25"/>
      <c r="H119" s="25"/>
      <c r="I119" s="25"/>
      <c r="J119" s="25"/>
      <c r="K119" s="25"/>
      <c r="L119" s="25"/>
      <c r="M119" s="25"/>
      <c r="N119" s="52">
        <f>N28*0.003</f>
        <v>805.80000000000007</v>
      </c>
      <c r="O119" s="25"/>
      <c r="P119" s="5"/>
    </row>
    <row r="120" spans="1:17" ht="15.6" x14ac:dyDescent="0.3">
      <c r="A120" s="24"/>
      <c r="B120" s="25" t="s">
        <v>41</v>
      </c>
      <c r="C120" s="25"/>
      <c r="D120" s="25"/>
      <c r="E120" s="25"/>
      <c r="F120" s="25"/>
      <c r="G120" s="25"/>
      <c r="H120" s="25"/>
      <c r="I120" s="25"/>
      <c r="J120" s="25"/>
      <c r="K120" s="25"/>
      <c r="L120" s="25"/>
      <c r="M120" s="25"/>
      <c r="N120" s="52">
        <v>0</v>
      </c>
      <c r="O120" s="25"/>
      <c r="P120" s="5"/>
    </row>
    <row r="121" spans="1:17" ht="15.6" x14ac:dyDescent="0.3">
      <c r="A121" s="24"/>
      <c r="B121" s="25" t="s">
        <v>132</v>
      </c>
      <c r="C121" s="25"/>
      <c r="D121" s="25"/>
      <c r="E121" s="25"/>
      <c r="F121" s="25"/>
      <c r="G121" s="25"/>
      <c r="H121" s="25"/>
      <c r="I121" s="25"/>
      <c r="J121" s="25"/>
      <c r="K121" s="25"/>
      <c r="L121" s="25"/>
      <c r="M121" s="25"/>
      <c r="N121" s="52">
        <v>0</v>
      </c>
      <c r="O121" s="25"/>
      <c r="P121" s="5"/>
    </row>
    <row r="122" spans="1:17" ht="15.6" x14ac:dyDescent="0.3">
      <c r="A122" s="24"/>
      <c r="B122" s="25" t="s">
        <v>221</v>
      </c>
      <c r="C122" s="25"/>
      <c r="D122" s="25"/>
      <c r="E122" s="25"/>
      <c r="F122" s="25"/>
      <c r="G122" s="25"/>
      <c r="H122" s="25"/>
      <c r="I122" s="25"/>
      <c r="J122" s="25"/>
      <c r="K122" s="25"/>
      <c r="L122" s="25"/>
      <c r="M122" s="25"/>
      <c r="N122" s="52">
        <v>0</v>
      </c>
      <c r="O122" s="25"/>
      <c r="P122" s="5"/>
    </row>
    <row r="123" spans="1:17" ht="15.6" x14ac:dyDescent="0.3">
      <c r="A123" s="24"/>
      <c r="B123" s="25" t="s">
        <v>222</v>
      </c>
      <c r="C123" s="25"/>
      <c r="D123" s="25"/>
      <c r="E123" s="25"/>
      <c r="F123" s="25"/>
      <c r="G123" s="25"/>
      <c r="H123" s="25"/>
      <c r="I123" s="25"/>
      <c r="J123" s="25"/>
      <c r="K123" s="25"/>
      <c r="L123" s="25"/>
      <c r="M123" s="25"/>
      <c r="N123" s="52">
        <v>0</v>
      </c>
      <c r="O123" s="25"/>
      <c r="P123" s="5"/>
    </row>
    <row r="124" spans="1:17" ht="15.6" x14ac:dyDescent="0.3">
      <c r="A124" s="24"/>
      <c r="B124" s="25" t="s">
        <v>223</v>
      </c>
      <c r="C124" s="25"/>
      <c r="D124" s="25"/>
      <c r="E124" s="25"/>
      <c r="F124" s="25"/>
      <c r="G124" s="25"/>
      <c r="H124" s="25"/>
      <c r="I124" s="25"/>
      <c r="J124" s="25"/>
      <c r="K124" s="25"/>
      <c r="L124" s="25"/>
      <c r="M124" s="25"/>
      <c r="N124" s="52">
        <v>0</v>
      </c>
      <c r="O124" s="25"/>
      <c r="P124" s="5"/>
    </row>
    <row r="125" spans="1:17" ht="15.6" x14ac:dyDescent="0.3">
      <c r="A125" s="24"/>
      <c r="B125" s="25" t="s">
        <v>42</v>
      </c>
      <c r="C125" s="25"/>
      <c r="D125" s="25"/>
      <c r="E125" s="25"/>
      <c r="F125" s="25"/>
      <c r="G125" s="25"/>
      <c r="H125" s="25"/>
      <c r="I125" s="25"/>
      <c r="J125" s="25"/>
      <c r="K125" s="25"/>
      <c r="L125" s="25"/>
      <c r="M125" s="25"/>
      <c r="N125" s="52">
        <v>0</v>
      </c>
      <c r="O125" s="25"/>
      <c r="P125" s="5"/>
    </row>
    <row r="126" spans="1:17" ht="15.6" x14ac:dyDescent="0.3">
      <c r="A126" s="24"/>
      <c r="B126" s="25" t="s">
        <v>125</v>
      </c>
      <c r="C126" s="25"/>
      <c r="D126" s="25"/>
      <c r="E126" s="25"/>
      <c r="F126" s="25"/>
      <c r="G126" s="25"/>
      <c r="H126" s="25"/>
      <c r="I126" s="25"/>
      <c r="J126" s="25"/>
      <c r="K126" s="25"/>
      <c r="L126" s="25"/>
      <c r="M126" s="25"/>
      <c r="N126" s="52">
        <v>0</v>
      </c>
      <c r="O126" s="25"/>
      <c r="P126" s="5"/>
    </row>
    <row r="127" spans="1:17" ht="15.6" x14ac:dyDescent="0.3">
      <c r="A127" s="24"/>
      <c r="B127" s="25" t="s">
        <v>225</v>
      </c>
      <c r="C127" s="25"/>
      <c r="D127" s="25"/>
      <c r="E127" s="25"/>
      <c r="F127" s="25"/>
      <c r="G127" s="25"/>
      <c r="H127" s="25"/>
      <c r="I127" s="25"/>
      <c r="J127" s="25"/>
      <c r="K127" s="25"/>
      <c r="L127" s="25"/>
      <c r="M127" s="25"/>
      <c r="N127" s="52">
        <v>0</v>
      </c>
      <c r="O127" s="25"/>
      <c r="P127" s="5"/>
      <c r="Q127" s="104"/>
    </row>
    <row r="128" spans="1:17" ht="15.6" x14ac:dyDescent="0.3">
      <c r="A128" s="24"/>
      <c r="B128" s="25" t="s">
        <v>43</v>
      </c>
      <c r="C128" s="25"/>
      <c r="D128" s="25"/>
      <c r="E128" s="25"/>
      <c r="F128" s="25"/>
      <c r="G128" s="25"/>
      <c r="H128" s="25"/>
      <c r="I128" s="25"/>
      <c r="J128" s="25"/>
      <c r="K128" s="25"/>
      <c r="L128" s="25"/>
      <c r="M128" s="25"/>
      <c r="N128" s="52">
        <f>SUM(N119:N127)</f>
        <v>805.80000000000007</v>
      </c>
      <c r="O128" s="25"/>
      <c r="P128" s="5"/>
    </row>
    <row r="129" spans="1:16" ht="15.6" x14ac:dyDescent="0.3">
      <c r="A129" s="24"/>
      <c r="B129" s="25"/>
      <c r="C129" s="25"/>
      <c r="D129" s="25"/>
      <c r="E129" s="25"/>
      <c r="F129" s="25"/>
      <c r="G129" s="25"/>
      <c r="H129" s="25"/>
      <c r="I129" s="25"/>
      <c r="J129" s="25"/>
      <c r="K129" s="25"/>
      <c r="L129" s="25"/>
      <c r="M129" s="25"/>
      <c r="N129" s="52"/>
      <c r="O129" s="25"/>
      <c r="P129" s="5"/>
    </row>
    <row r="130" spans="1:16" ht="15.6" x14ac:dyDescent="0.3">
      <c r="A130" s="24"/>
      <c r="B130" s="130" t="s">
        <v>179</v>
      </c>
      <c r="C130" s="25"/>
      <c r="D130" s="25"/>
      <c r="E130" s="25"/>
      <c r="F130" s="25"/>
      <c r="G130" s="25"/>
      <c r="H130" s="25"/>
      <c r="I130" s="25"/>
      <c r="J130" s="25"/>
      <c r="K130" s="25"/>
      <c r="L130" s="25"/>
      <c r="M130" s="25"/>
      <c r="N130" s="52"/>
      <c r="O130" s="25"/>
      <c r="P130" s="5"/>
    </row>
    <row r="131" spans="1:16" ht="15.6" x14ac:dyDescent="0.3">
      <c r="A131" s="24"/>
      <c r="B131" s="25" t="s">
        <v>144</v>
      </c>
      <c r="C131" s="25"/>
      <c r="D131" s="25"/>
      <c r="E131" s="25"/>
      <c r="F131" s="25"/>
      <c r="G131" s="25"/>
      <c r="H131" s="25"/>
      <c r="I131" s="25"/>
      <c r="J131" s="25"/>
      <c r="K131" s="25"/>
      <c r="L131" s="25"/>
      <c r="M131" s="25"/>
      <c r="N131" s="52">
        <v>8375</v>
      </c>
      <c r="O131" s="25"/>
      <c r="P131" s="5"/>
    </row>
    <row r="132" spans="1:16" ht="15.6" x14ac:dyDescent="0.3">
      <c r="A132" s="24"/>
      <c r="B132" s="25" t="s">
        <v>159</v>
      </c>
      <c r="C132" s="25"/>
      <c r="D132" s="25"/>
      <c r="E132" s="25"/>
      <c r="F132" s="25"/>
      <c r="G132" s="25"/>
      <c r="H132" s="25"/>
      <c r="I132" s="25"/>
      <c r="J132" s="25"/>
      <c r="K132" s="25"/>
      <c r="L132" s="25"/>
      <c r="M132" s="25"/>
      <c r="N132" s="52">
        <v>0</v>
      </c>
      <c r="O132" s="25"/>
      <c r="P132" s="5"/>
    </row>
    <row r="133" spans="1:16" ht="15.6" x14ac:dyDescent="0.3">
      <c r="A133" s="24"/>
      <c r="B133" s="25" t="s">
        <v>183</v>
      </c>
      <c r="C133" s="25"/>
      <c r="D133" s="25"/>
      <c r="E133" s="25"/>
      <c r="F133" s="25"/>
      <c r="G133" s="25"/>
      <c r="H133" s="25"/>
      <c r="I133" s="25"/>
      <c r="J133" s="25"/>
      <c r="K133" s="25"/>
      <c r="L133" s="25"/>
      <c r="M133" s="25"/>
      <c r="N133" s="52">
        <v>7098</v>
      </c>
      <c r="O133" s="25"/>
      <c r="P133" s="5"/>
    </row>
    <row r="134" spans="1:16" ht="15.6" x14ac:dyDescent="0.3">
      <c r="A134" s="24"/>
      <c r="B134" s="25"/>
      <c r="C134" s="25"/>
      <c r="D134" s="25"/>
      <c r="E134" s="25"/>
      <c r="F134" s="25"/>
      <c r="G134" s="25"/>
      <c r="H134" s="25"/>
      <c r="I134" s="25"/>
      <c r="J134" s="25"/>
      <c r="K134" s="25"/>
      <c r="L134" s="25"/>
      <c r="M134" s="25"/>
      <c r="N134" s="52"/>
      <c r="O134" s="25"/>
      <c r="P134" s="5"/>
    </row>
    <row r="135" spans="1:16" ht="15.6" x14ac:dyDescent="0.3">
      <c r="A135" s="24"/>
      <c r="B135" s="25"/>
      <c r="C135" s="25"/>
      <c r="D135" s="25"/>
      <c r="E135" s="25"/>
      <c r="F135" s="25"/>
      <c r="G135" s="25"/>
      <c r="H135" s="25"/>
      <c r="I135" s="25"/>
      <c r="J135" s="25"/>
      <c r="K135" s="25"/>
      <c r="L135" s="25"/>
      <c r="M135" s="25"/>
      <c r="N135" s="59"/>
      <c r="O135" s="25"/>
      <c r="P135" s="5"/>
    </row>
    <row r="136" spans="1:16" ht="15.6" x14ac:dyDescent="0.3">
      <c r="A136" s="6"/>
      <c r="B136" s="114" t="s">
        <v>22</v>
      </c>
      <c r="C136" s="8"/>
      <c r="D136" s="8"/>
      <c r="E136" s="8"/>
      <c r="F136" s="8"/>
      <c r="G136" s="8"/>
      <c r="H136" s="8"/>
      <c r="I136" s="8"/>
      <c r="J136" s="8"/>
      <c r="K136" s="8"/>
      <c r="L136" s="8"/>
      <c r="M136" s="8"/>
      <c r="N136" s="51"/>
      <c r="O136" s="8"/>
      <c r="P136" s="5"/>
    </row>
    <row r="137" spans="1:16" ht="15.6" x14ac:dyDescent="0.3">
      <c r="A137" s="24"/>
      <c r="B137" s="25" t="s">
        <v>44</v>
      </c>
      <c r="C137" s="25"/>
      <c r="D137" s="25"/>
      <c r="E137" s="25"/>
      <c r="F137" s="25"/>
      <c r="G137" s="25"/>
      <c r="H137" s="25"/>
      <c r="I137" s="25"/>
      <c r="J137" s="25"/>
      <c r="K137" s="25"/>
      <c r="L137" s="25"/>
      <c r="M137" s="25"/>
      <c r="N137" s="57" t="s">
        <v>117</v>
      </c>
      <c r="O137" s="25"/>
      <c r="P137" s="5"/>
    </row>
    <row r="138" spans="1:16" ht="15.6" x14ac:dyDescent="0.3">
      <c r="A138" s="24"/>
      <c r="B138" s="25" t="s">
        <v>45</v>
      </c>
      <c r="C138" s="27"/>
      <c r="D138" s="27"/>
      <c r="E138" s="27"/>
      <c r="F138" s="27"/>
      <c r="G138" s="27"/>
      <c r="H138" s="27"/>
      <c r="I138" s="27"/>
      <c r="J138" s="27"/>
      <c r="K138" s="27"/>
      <c r="L138" s="27"/>
      <c r="M138" s="27"/>
      <c r="N138" s="57" t="s">
        <v>117</v>
      </c>
      <c r="O138" s="25"/>
      <c r="P138" s="5"/>
    </row>
    <row r="139" spans="1:16" ht="15.6" x14ac:dyDescent="0.3">
      <c r="A139" s="24"/>
      <c r="B139" s="25" t="s">
        <v>46</v>
      </c>
      <c r="C139" s="25"/>
      <c r="D139" s="25"/>
      <c r="E139" s="25"/>
      <c r="F139" s="25"/>
      <c r="G139" s="25"/>
      <c r="H139" s="25"/>
      <c r="I139" s="25"/>
      <c r="J139" s="25"/>
      <c r="K139" s="25"/>
      <c r="L139" s="25"/>
      <c r="M139" s="25"/>
      <c r="N139" s="57" t="s">
        <v>117</v>
      </c>
      <c r="O139" s="25"/>
      <c r="P139" s="5"/>
    </row>
    <row r="140" spans="1:16" ht="15.6" x14ac:dyDescent="0.3">
      <c r="A140" s="24"/>
      <c r="B140" s="25" t="s">
        <v>47</v>
      </c>
      <c r="C140" s="25"/>
      <c r="D140" s="25"/>
      <c r="E140" s="25"/>
      <c r="F140" s="25"/>
      <c r="G140" s="25"/>
      <c r="H140" s="25"/>
      <c r="I140" s="25"/>
      <c r="J140" s="25"/>
      <c r="K140" s="25"/>
      <c r="L140" s="25"/>
      <c r="M140" s="25"/>
      <c r="N140" s="57" t="s">
        <v>117</v>
      </c>
      <c r="O140" s="25"/>
      <c r="P140" s="5"/>
    </row>
    <row r="141" spans="1:16" ht="15.6" x14ac:dyDescent="0.3">
      <c r="A141" s="24"/>
      <c r="B141" s="25"/>
      <c r="C141" s="25"/>
      <c r="D141" s="25"/>
      <c r="E141" s="25"/>
      <c r="F141" s="25"/>
      <c r="G141" s="25"/>
      <c r="H141" s="25"/>
      <c r="I141" s="25"/>
      <c r="J141" s="25"/>
      <c r="K141" s="25"/>
      <c r="L141" s="25"/>
      <c r="M141" s="25"/>
      <c r="N141" s="59"/>
      <c r="O141" s="25"/>
      <c r="P141" s="5"/>
    </row>
    <row r="142" spans="1:16" ht="15.6" x14ac:dyDescent="0.3">
      <c r="A142" s="6"/>
      <c r="B142" s="114" t="s">
        <v>48</v>
      </c>
      <c r="C142" s="8"/>
      <c r="D142" s="8"/>
      <c r="E142" s="8"/>
      <c r="F142" s="8"/>
      <c r="G142" s="8"/>
      <c r="H142" s="8"/>
      <c r="I142" s="8"/>
      <c r="J142" s="8"/>
      <c r="K142" s="8"/>
      <c r="L142" s="8"/>
      <c r="M142" s="8"/>
      <c r="N142" s="61"/>
      <c r="O142" s="8"/>
      <c r="P142" s="5"/>
    </row>
    <row r="143" spans="1:16" ht="15.6" x14ac:dyDescent="0.3">
      <c r="A143" s="24"/>
      <c r="B143" s="25" t="s">
        <v>49</v>
      </c>
      <c r="C143" s="25"/>
      <c r="D143" s="25"/>
      <c r="E143" s="25"/>
      <c r="F143" s="25"/>
      <c r="G143" s="25"/>
      <c r="H143" s="25"/>
      <c r="I143" s="25"/>
      <c r="J143" s="25"/>
      <c r="K143" s="25"/>
      <c r="L143" s="25"/>
      <c r="M143" s="25"/>
      <c r="N143" s="52">
        <v>0</v>
      </c>
      <c r="O143" s="25"/>
      <c r="P143" s="5"/>
    </row>
    <row r="144" spans="1:16" ht="15.6" x14ac:dyDescent="0.3">
      <c r="A144" s="24"/>
      <c r="B144" s="25" t="s">
        <v>50</v>
      </c>
      <c r="C144" s="25"/>
      <c r="D144" s="25"/>
      <c r="E144" s="25"/>
      <c r="F144" s="25"/>
      <c r="G144" s="25"/>
      <c r="H144" s="25"/>
      <c r="I144" s="25"/>
      <c r="J144" s="25"/>
      <c r="K144" s="25"/>
      <c r="L144" s="25"/>
      <c r="M144" s="25"/>
      <c r="N144" s="52">
        <v>34</v>
      </c>
      <c r="O144" s="25"/>
      <c r="P144" s="5"/>
    </row>
    <row r="145" spans="1:256" ht="15.6" x14ac:dyDescent="0.3">
      <c r="A145" s="24"/>
      <c r="B145" s="25" t="s">
        <v>51</v>
      </c>
      <c r="C145" s="25"/>
      <c r="D145" s="25"/>
      <c r="E145" s="25"/>
      <c r="F145" s="25"/>
      <c r="G145" s="25"/>
      <c r="H145" s="25"/>
      <c r="I145" s="25"/>
      <c r="J145" s="25"/>
      <c r="K145" s="25"/>
      <c r="L145" s="25"/>
      <c r="M145" s="25"/>
      <c r="N145" s="52">
        <f>N144+N143</f>
        <v>34</v>
      </c>
      <c r="O145" s="25"/>
      <c r="P145" s="5"/>
    </row>
    <row r="146" spans="1:256" ht="15.6" x14ac:dyDescent="0.3">
      <c r="A146" s="24"/>
      <c r="B146" s="25" t="s">
        <v>264</v>
      </c>
      <c r="C146" s="25"/>
      <c r="D146" s="25"/>
      <c r="E146" s="25"/>
      <c r="F146" s="25"/>
      <c r="G146" s="25"/>
      <c r="H146" s="25"/>
      <c r="I146" s="25"/>
      <c r="J146" s="25"/>
      <c r="K146" s="25"/>
      <c r="L146" s="25"/>
      <c r="M146" s="25"/>
      <c r="N146" s="52">
        <v>-34</v>
      </c>
      <c r="O146" s="25"/>
      <c r="P146" s="5"/>
    </row>
    <row r="147" spans="1:256" ht="15.6" x14ac:dyDescent="0.3">
      <c r="A147" s="24"/>
      <c r="B147" s="25" t="s">
        <v>52</v>
      </c>
      <c r="C147" s="25"/>
      <c r="D147" s="25"/>
      <c r="E147" s="25"/>
      <c r="F147" s="25"/>
      <c r="G147" s="25"/>
      <c r="H147" s="25"/>
      <c r="I147" s="25"/>
      <c r="J147" s="25"/>
      <c r="K147" s="25"/>
      <c r="L147" s="25"/>
      <c r="M147" s="25"/>
      <c r="N147" s="52">
        <f>N145+N146</f>
        <v>0</v>
      </c>
      <c r="O147" s="25"/>
      <c r="P147" s="5"/>
    </row>
    <row r="148" spans="1:256" ht="16.2" thickBot="1" x14ac:dyDescent="0.35">
      <c r="A148" s="24"/>
      <c r="B148" s="25"/>
      <c r="C148" s="25"/>
      <c r="D148" s="25"/>
      <c r="E148" s="25"/>
      <c r="F148" s="25"/>
      <c r="G148" s="25"/>
      <c r="H148" s="25"/>
      <c r="I148" s="25"/>
      <c r="J148" s="25"/>
      <c r="K148" s="25"/>
      <c r="L148" s="25"/>
      <c r="M148" s="25"/>
      <c r="N148" s="59"/>
      <c r="O148" s="25"/>
      <c r="P148" s="5"/>
    </row>
    <row r="149" spans="1:256" ht="15.6" x14ac:dyDescent="0.3">
      <c r="A149" s="2"/>
      <c r="B149" s="4"/>
      <c r="C149" s="4"/>
      <c r="D149" s="4"/>
      <c r="E149" s="4"/>
      <c r="F149" s="4"/>
      <c r="G149" s="4"/>
      <c r="H149" s="4"/>
      <c r="I149" s="4"/>
      <c r="J149" s="4"/>
      <c r="K149" s="4"/>
      <c r="L149" s="4"/>
      <c r="M149" s="4"/>
      <c r="N149" s="49"/>
      <c r="O149" s="4"/>
      <c r="P149" s="5"/>
    </row>
    <row r="150" spans="1:256" ht="15.6" x14ac:dyDescent="0.3">
      <c r="A150" s="6"/>
      <c r="B150" s="114" t="s">
        <v>53</v>
      </c>
      <c r="C150" s="8"/>
      <c r="D150" s="8"/>
      <c r="E150" s="8"/>
      <c r="F150" s="8"/>
      <c r="G150" s="8"/>
      <c r="H150" s="8"/>
      <c r="I150" s="8"/>
      <c r="J150" s="8"/>
      <c r="K150" s="8"/>
      <c r="L150" s="8"/>
      <c r="M150" s="8"/>
      <c r="N150" s="51"/>
      <c r="O150" s="8"/>
      <c r="P150" s="5"/>
    </row>
    <row r="151" spans="1:256" ht="15.6" x14ac:dyDescent="0.3">
      <c r="A151" s="6"/>
      <c r="B151" s="21"/>
      <c r="C151" s="8"/>
      <c r="D151" s="8"/>
      <c r="E151" s="8"/>
      <c r="F151" s="8"/>
      <c r="G151" s="8"/>
      <c r="H151" s="8"/>
      <c r="I151" s="8"/>
      <c r="J151" s="8"/>
      <c r="K151" s="8"/>
      <c r="L151" s="8"/>
      <c r="M151" s="8"/>
      <c r="N151" s="51"/>
      <c r="O151" s="8"/>
      <c r="P151" s="5"/>
    </row>
    <row r="152" spans="1:256" ht="15.6" x14ac:dyDescent="0.3">
      <c r="A152" s="24"/>
      <c r="B152" s="25" t="s">
        <v>234</v>
      </c>
      <c r="C152" s="25"/>
      <c r="D152" s="25"/>
      <c r="E152" s="25"/>
      <c r="F152" s="25"/>
      <c r="G152" s="25"/>
      <c r="H152" s="25"/>
      <c r="I152" s="25"/>
      <c r="J152" s="25"/>
      <c r="K152" s="25"/>
      <c r="L152" s="25"/>
      <c r="M152" s="25"/>
      <c r="N152" s="52">
        <f>N57</f>
        <v>236185</v>
      </c>
      <c r="O152" s="25"/>
      <c r="P152" s="5"/>
      <c r="Q152" s="104"/>
    </row>
    <row r="153" spans="1:256" ht="15.6" x14ac:dyDescent="0.3">
      <c r="A153" s="24"/>
      <c r="B153" s="25" t="s">
        <v>54</v>
      </c>
      <c r="C153" s="25"/>
      <c r="D153" s="25"/>
      <c r="E153" s="25"/>
      <c r="F153" s="25"/>
      <c r="G153" s="25"/>
      <c r="H153" s="25"/>
      <c r="I153" s="25"/>
      <c r="J153" s="25"/>
      <c r="K153" s="25"/>
      <c r="L153" s="25"/>
      <c r="M153" s="25"/>
      <c r="N153" s="52">
        <f>N73</f>
        <v>236185</v>
      </c>
      <c r="O153" s="25"/>
      <c r="P153" s="5"/>
    </row>
    <row r="154" spans="1:256" ht="16.2" thickBot="1" x14ac:dyDescent="0.35">
      <c r="A154" s="24"/>
      <c r="B154" s="25"/>
      <c r="C154" s="25"/>
      <c r="D154" s="25"/>
      <c r="E154" s="25"/>
      <c r="F154" s="25"/>
      <c r="G154" s="25"/>
      <c r="H154" s="25"/>
      <c r="I154" s="25"/>
      <c r="J154" s="25"/>
      <c r="K154" s="25"/>
      <c r="L154" s="25"/>
      <c r="M154" s="25"/>
      <c r="N154" s="59"/>
      <c r="O154" s="25"/>
      <c r="P154" s="5"/>
    </row>
    <row r="155" spans="1:256" s="150" customFormat="1" ht="15.6" x14ac:dyDescent="0.3">
      <c r="A155" s="2"/>
      <c r="B155" s="4"/>
      <c r="C155" s="4"/>
      <c r="D155" s="4"/>
      <c r="E155" s="4"/>
      <c r="F155" s="4"/>
      <c r="G155" s="4"/>
      <c r="H155" s="4"/>
      <c r="I155" s="4"/>
      <c r="J155" s="4"/>
      <c r="K155" s="4"/>
      <c r="L155" s="4"/>
      <c r="M155" s="4"/>
      <c r="N155" s="49"/>
      <c r="O155" s="4"/>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6"/>
      <c r="B156" s="160" t="s">
        <v>205</v>
      </c>
      <c r="C156" s="151"/>
      <c r="D156" s="151"/>
      <c r="E156" s="151"/>
      <c r="F156" s="151"/>
      <c r="G156" s="151"/>
      <c r="H156" s="151"/>
      <c r="I156" s="151"/>
      <c r="J156" s="151"/>
      <c r="K156" s="151"/>
      <c r="L156" s="151"/>
      <c r="M156" s="151"/>
      <c r="N156" s="152"/>
      <c r="O156" s="151"/>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6.2" thickBot="1" x14ac:dyDescent="0.35">
      <c r="A157" s="6"/>
      <c r="B157" s="151"/>
      <c r="C157" s="151"/>
      <c r="D157" s="151"/>
      <c r="E157" s="151"/>
      <c r="F157" s="151"/>
      <c r="G157" s="151"/>
      <c r="H157" s="151"/>
      <c r="I157" s="151"/>
      <c r="J157" s="151"/>
      <c r="K157" s="151"/>
      <c r="L157" s="151"/>
      <c r="M157" s="151"/>
      <c r="N157" s="152"/>
      <c r="O157" s="151"/>
      <c r="P157" s="5"/>
    </row>
    <row r="158" spans="1:256" s="156" customFormat="1" ht="15.6" x14ac:dyDescent="0.3">
      <c r="A158" s="154"/>
      <c r="B158" s="155" t="s">
        <v>206</v>
      </c>
      <c r="C158" s="155"/>
      <c r="D158" s="155"/>
      <c r="E158" s="155"/>
      <c r="F158" s="155"/>
      <c r="G158" s="155"/>
      <c r="H158" s="155"/>
      <c r="I158" s="155"/>
      <c r="J158" s="155"/>
      <c r="K158" s="155"/>
      <c r="L158" s="155"/>
      <c r="M158" s="155"/>
      <c r="N158" s="164">
        <f>D58</f>
        <v>756</v>
      </c>
      <c r="O158" s="155"/>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6"/>
      <c r="B159" s="151" t="s">
        <v>207</v>
      </c>
      <c r="C159" s="151"/>
      <c r="D159" s="151"/>
      <c r="E159" s="151"/>
      <c r="F159" s="151"/>
      <c r="G159" s="151"/>
      <c r="H159" s="151"/>
      <c r="I159" s="151"/>
      <c r="J159" s="151"/>
      <c r="K159" s="151"/>
      <c r="L159" s="151"/>
      <c r="M159" s="151"/>
      <c r="N159" s="165">
        <v>64</v>
      </c>
      <c r="O159" s="151"/>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161"/>
      <c r="B160" s="162" t="s">
        <v>208</v>
      </c>
      <c r="C160" s="162"/>
      <c r="D160" s="162"/>
      <c r="E160" s="162"/>
      <c r="F160" s="162"/>
      <c r="G160" s="162"/>
      <c r="H160" s="162"/>
      <c r="I160" s="162"/>
      <c r="J160" s="162"/>
      <c r="K160" s="162"/>
      <c r="L160" s="162"/>
      <c r="M160" s="162"/>
      <c r="N160" s="166">
        <v>4</v>
      </c>
      <c r="O160" s="162"/>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157"/>
      <c r="B161" s="158" t="s">
        <v>217</v>
      </c>
      <c r="C161" s="158"/>
      <c r="D161" s="158"/>
      <c r="E161" s="158"/>
      <c r="F161" s="158"/>
      <c r="G161" s="158"/>
      <c r="H161" s="158"/>
      <c r="I161" s="158"/>
      <c r="J161" s="158"/>
      <c r="K161" s="158"/>
      <c r="L161" s="158"/>
      <c r="M161" s="158"/>
      <c r="N161" s="167">
        <f>N158-N159-N160</f>
        <v>688</v>
      </c>
      <c r="O161" s="158"/>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57"/>
      <c r="B162" s="158"/>
      <c r="C162" s="158"/>
      <c r="D162" s="158"/>
      <c r="E162" s="158"/>
      <c r="F162" s="158"/>
      <c r="G162" s="158"/>
      <c r="H162" s="158"/>
      <c r="I162" s="158"/>
      <c r="J162" s="158"/>
      <c r="K162" s="158"/>
      <c r="L162" s="158"/>
      <c r="M162" s="158"/>
      <c r="N162" s="167"/>
      <c r="O162" s="15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168"/>
      <c r="B163" s="169"/>
      <c r="C163" s="169"/>
      <c r="D163" s="169"/>
      <c r="E163" s="169"/>
      <c r="F163" s="169"/>
      <c r="G163" s="169"/>
      <c r="H163" s="169"/>
      <c r="I163" s="169"/>
      <c r="J163" s="169"/>
      <c r="K163" s="169"/>
      <c r="L163" s="169"/>
      <c r="M163" s="169"/>
      <c r="N163" s="170"/>
      <c r="O163" s="169"/>
      <c r="P163" s="172"/>
    </row>
    <row r="164" spans="1:256" ht="15.6" x14ac:dyDescent="0.3">
      <c r="A164" s="6"/>
      <c r="B164" s="114" t="s">
        <v>55</v>
      </c>
      <c r="C164" s="112"/>
      <c r="D164" s="115"/>
      <c r="E164" s="115"/>
      <c r="F164" s="115"/>
      <c r="G164" s="115"/>
      <c r="H164" s="115"/>
      <c r="I164" s="115"/>
      <c r="J164" s="115"/>
      <c r="K164" s="115" t="s">
        <v>98</v>
      </c>
      <c r="L164" s="115" t="s">
        <v>226</v>
      </c>
      <c r="M164" s="106"/>
      <c r="N164" s="116" t="s">
        <v>114</v>
      </c>
      <c r="O164" s="10"/>
      <c r="P164" s="5"/>
    </row>
    <row r="165" spans="1:256" ht="15.6" x14ac:dyDescent="0.3">
      <c r="A165" s="24"/>
      <c r="B165" s="25" t="s">
        <v>56</v>
      </c>
      <c r="C165" s="25"/>
      <c r="D165" s="25"/>
      <c r="E165" s="25"/>
      <c r="F165" s="25"/>
      <c r="G165" s="25"/>
      <c r="H165" s="25"/>
      <c r="I165" s="25"/>
      <c r="J165" s="25"/>
      <c r="K165" s="52" t="s">
        <v>117</v>
      </c>
      <c r="L165" s="40" t="s">
        <v>117</v>
      </c>
      <c r="M165" s="25"/>
      <c r="N165" s="52"/>
      <c r="O165" s="25"/>
      <c r="P165" s="5"/>
    </row>
    <row r="166" spans="1:256" ht="15.6" x14ac:dyDescent="0.3">
      <c r="A166" s="24"/>
      <c r="B166" s="25" t="s">
        <v>57</v>
      </c>
      <c r="C166" s="25"/>
      <c r="D166" s="25"/>
      <c r="E166" s="25"/>
      <c r="F166" s="25"/>
      <c r="G166" s="25"/>
      <c r="H166" s="25"/>
      <c r="I166" s="25"/>
      <c r="J166" s="25"/>
      <c r="K166" s="52">
        <v>0</v>
      </c>
      <c r="L166" s="52">
        <v>0</v>
      </c>
      <c r="M166" s="25"/>
      <c r="N166" s="52">
        <f>K166+L166</f>
        <v>0</v>
      </c>
      <c r="O166" s="25"/>
      <c r="P166" s="5"/>
    </row>
    <row r="167" spans="1:256" ht="15.6" x14ac:dyDescent="0.3">
      <c r="A167" s="24"/>
      <c r="B167" s="25" t="s">
        <v>58</v>
      </c>
      <c r="C167" s="25"/>
      <c r="D167" s="25"/>
      <c r="E167" s="25"/>
      <c r="F167" s="25"/>
      <c r="G167" s="25"/>
      <c r="H167" s="25"/>
      <c r="I167" s="25"/>
      <c r="J167" s="25"/>
      <c r="K167" s="34">
        <v>0</v>
      </c>
      <c r="L167" s="34">
        <v>2453</v>
      </c>
      <c r="M167" s="25"/>
      <c r="N167" s="52">
        <f>K167+L167</f>
        <v>2453</v>
      </c>
      <c r="O167" s="25"/>
      <c r="P167" s="5"/>
    </row>
    <row r="168" spans="1:256" ht="15.6" x14ac:dyDescent="0.3">
      <c r="A168" s="24"/>
      <c r="B168" s="25" t="s">
        <v>59</v>
      </c>
      <c r="C168" s="25"/>
      <c r="D168" s="25"/>
      <c r="E168" s="25"/>
      <c r="F168" s="25"/>
      <c r="G168" s="25"/>
      <c r="H168" s="25"/>
      <c r="I168" s="25"/>
      <c r="J168" s="25"/>
      <c r="K168" s="52">
        <f>K166+K167</f>
        <v>0</v>
      </c>
      <c r="L168" s="52">
        <f>L167+L166</f>
        <v>2453</v>
      </c>
      <c r="M168" s="25"/>
      <c r="N168" s="52">
        <f>K168+L168</f>
        <v>2453</v>
      </c>
      <c r="O168" s="25"/>
      <c r="P168" s="5"/>
    </row>
    <row r="169" spans="1:256" ht="15.6" x14ac:dyDescent="0.3">
      <c r="A169" s="24"/>
      <c r="B169" s="25" t="s">
        <v>60</v>
      </c>
      <c r="C169" s="25"/>
      <c r="D169" s="25"/>
      <c r="E169" s="25"/>
      <c r="F169" s="25"/>
      <c r="G169" s="25"/>
      <c r="H169" s="25"/>
      <c r="I169" s="25"/>
      <c r="J169" s="25"/>
      <c r="K169" s="52" t="s">
        <v>117</v>
      </c>
      <c r="L169" s="40" t="s">
        <v>117</v>
      </c>
      <c r="M169" s="25"/>
      <c r="N169" s="52"/>
      <c r="O169" s="25"/>
      <c r="P169" s="5"/>
    </row>
    <row r="170" spans="1:256" ht="16.2" thickBot="1" x14ac:dyDescent="0.35">
      <c r="A170" s="24"/>
      <c r="B170" s="25"/>
      <c r="C170" s="25"/>
      <c r="D170" s="25"/>
      <c r="E170" s="25"/>
      <c r="F170" s="25"/>
      <c r="G170" s="25"/>
      <c r="H170" s="25"/>
      <c r="I170" s="25"/>
      <c r="J170" s="25"/>
      <c r="K170" s="25"/>
      <c r="L170" s="25"/>
      <c r="M170" s="25"/>
      <c r="N170" s="59"/>
      <c r="O170" s="25"/>
      <c r="P170" s="5"/>
    </row>
    <row r="171" spans="1:256" ht="15.6" x14ac:dyDescent="0.3">
      <c r="A171" s="2"/>
      <c r="B171" s="4"/>
      <c r="C171" s="4"/>
      <c r="D171" s="4"/>
      <c r="E171" s="4"/>
      <c r="F171" s="4"/>
      <c r="G171" s="4"/>
      <c r="H171" s="4"/>
      <c r="I171" s="4"/>
      <c r="J171" s="4"/>
      <c r="K171" s="4"/>
      <c r="L171" s="4"/>
      <c r="M171" s="4"/>
      <c r="N171" s="49"/>
      <c r="O171" s="4"/>
      <c r="P171" s="5"/>
    </row>
    <row r="172" spans="1:256" ht="15.6" x14ac:dyDescent="0.3">
      <c r="A172" s="6"/>
      <c r="B172" s="114" t="s">
        <v>61</v>
      </c>
      <c r="C172" s="8"/>
      <c r="D172" s="8"/>
      <c r="E172" s="8"/>
      <c r="F172" s="8"/>
      <c r="G172" s="8"/>
      <c r="H172" s="8"/>
      <c r="I172" s="8"/>
      <c r="J172" s="8"/>
      <c r="K172" s="8"/>
      <c r="L172" s="8"/>
      <c r="M172" s="8"/>
      <c r="N172" s="63"/>
      <c r="O172" s="8"/>
      <c r="P172" s="5"/>
    </row>
    <row r="173" spans="1:256" ht="15.6" x14ac:dyDescent="0.3">
      <c r="A173" s="24"/>
      <c r="B173" s="25" t="s">
        <v>62</v>
      </c>
      <c r="C173" s="25"/>
      <c r="D173" s="25"/>
      <c r="E173" s="25"/>
      <c r="F173" s="25"/>
      <c r="G173" s="25"/>
      <c r="H173" s="25"/>
      <c r="I173" s="25"/>
      <c r="J173" s="25"/>
      <c r="K173" s="25"/>
      <c r="L173" s="25"/>
      <c r="M173" s="25"/>
      <c r="N173" s="57">
        <f>(N87+N89+N90+N91+N92)/-N93</f>
        <v>1.365979381443299</v>
      </c>
      <c r="O173" s="25" t="s">
        <v>115</v>
      </c>
      <c r="P173" s="5"/>
    </row>
    <row r="174" spans="1:256" ht="15.6" x14ac:dyDescent="0.3">
      <c r="A174" s="24"/>
      <c r="B174" s="25" t="s">
        <v>63</v>
      </c>
      <c r="C174" s="25"/>
      <c r="D174" s="25"/>
      <c r="E174" s="25"/>
      <c r="F174" s="25"/>
      <c r="G174" s="25"/>
      <c r="H174" s="25"/>
      <c r="I174" s="25"/>
      <c r="J174" s="25"/>
      <c r="K174" s="25"/>
      <c r="L174" s="25"/>
      <c r="M174" s="25"/>
      <c r="N174" s="64">
        <v>1.37</v>
      </c>
      <c r="O174" s="25" t="s">
        <v>115</v>
      </c>
      <c r="P174" s="5"/>
    </row>
    <row r="175" spans="1:256" ht="15.6" x14ac:dyDescent="0.3">
      <c r="A175" s="24"/>
      <c r="B175" s="25" t="s">
        <v>64</v>
      </c>
      <c r="C175" s="25"/>
      <c r="D175" s="25"/>
      <c r="E175" s="25"/>
      <c r="F175" s="25"/>
      <c r="G175" s="25"/>
      <c r="H175" s="25"/>
      <c r="I175" s="25"/>
      <c r="J175" s="25"/>
      <c r="K175" s="25"/>
      <c r="L175" s="25"/>
      <c r="M175" s="25"/>
      <c r="N175" s="57">
        <f>(N87+N89+N90+N91+N92+N93)/-N95</f>
        <v>23.406593406593405</v>
      </c>
      <c r="O175" s="25" t="s">
        <v>115</v>
      </c>
      <c r="P175" s="5"/>
    </row>
    <row r="176" spans="1:256" ht="15.6" x14ac:dyDescent="0.3">
      <c r="A176" s="24"/>
      <c r="B176" s="25" t="s">
        <v>65</v>
      </c>
      <c r="C176" s="25"/>
      <c r="D176" s="25"/>
      <c r="E176" s="25"/>
      <c r="F176" s="25"/>
      <c r="G176" s="25"/>
      <c r="H176" s="25"/>
      <c r="I176" s="25"/>
      <c r="J176" s="25"/>
      <c r="K176" s="25"/>
      <c r="L176" s="25"/>
      <c r="M176" s="25"/>
      <c r="N176" s="64">
        <v>23.41</v>
      </c>
      <c r="O176" s="25" t="s">
        <v>115</v>
      </c>
      <c r="P176" s="5"/>
    </row>
    <row r="177" spans="1:16" ht="15.6" x14ac:dyDescent="0.3">
      <c r="A177" s="24"/>
      <c r="B177" s="25" t="s">
        <v>166</v>
      </c>
      <c r="C177" s="25"/>
      <c r="D177" s="25"/>
      <c r="E177" s="25"/>
      <c r="F177" s="25"/>
      <c r="G177" s="25"/>
      <c r="H177" s="25"/>
      <c r="I177" s="25"/>
      <c r="J177" s="25"/>
      <c r="K177" s="25"/>
      <c r="L177" s="25"/>
      <c r="M177" s="25"/>
      <c r="N177" s="57">
        <f>(N87+N89+N90+N91+N92+N93+N95)/-N96</f>
        <v>21.9247311827957</v>
      </c>
      <c r="O177" s="25" t="s">
        <v>115</v>
      </c>
      <c r="P177" s="5"/>
    </row>
    <row r="178" spans="1:16" ht="15.6" x14ac:dyDescent="0.3">
      <c r="A178" s="24"/>
      <c r="B178" s="25" t="s">
        <v>167</v>
      </c>
      <c r="C178" s="25"/>
      <c r="D178" s="25"/>
      <c r="E178" s="25"/>
      <c r="F178" s="25"/>
      <c r="G178" s="25"/>
      <c r="H178" s="25"/>
      <c r="I178" s="25"/>
      <c r="J178" s="25"/>
      <c r="K178" s="25"/>
      <c r="L178" s="25"/>
      <c r="M178" s="25"/>
      <c r="N178" s="64">
        <v>21.92</v>
      </c>
      <c r="O178" s="25" t="s">
        <v>115</v>
      </c>
      <c r="P178" s="5"/>
    </row>
    <row r="179" spans="1:16" ht="15.6" x14ac:dyDescent="0.3">
      <c r="A179" s="24"/>
      <c r="B179" s="25"/>
      <c r="C179" s="25"/>
      <c r="D179" s="25"/>
      <c r="E179" s="25"/>
      <c r="F179" s="25"/>
      <c r="G179" s="25"/>
      <c r="H179" s="25"/>
      <c r="I179" s="25"/>
      <c r="J179" s="25"/>
      <c r="K179" s="25"/>
      <c r="L179" s="25"/>
      <c r="M179" s="25"/>
      <c r="N179" s="25"/>
      <c r="O179" s="25"/>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6"/>
      <c r="B181" s="8"/>
      <c r="C181" s="8"/>
      <c r="D181" s="8"/>
      <c r="E181" s="8"/>
      <c r="F181" s="8"/>
      <c r="G181" s="8"/>
      <c r="H181" s="8"/>
      <c r="I181" s="8"/>
      <c r="J181" s="8"/>
      <c r="K181" s="8"/>
      <c r="L181" s="8"/>
      <c r="M181" s="8"/>
      <c r="N181" s="8"/>
      <c r="O181" s="8"/>
      <c r="P181" s="5"/>
    </row>
    <row r="182" spans="1:16" ht="18" thickBot="1" x14ac:dyDescent="0.35">
      <c r="A182" s="96"/>
      <c r="B182" s="97" t="str">
        <f>B115</f>
        <v>FF7 INVESTOR REPORT QUARTER ENDING MAY 2007</v>
      </c>
      <c r="C182" s="102"/>
      <c r="D182" s="102"/>
      <c r="E182" s="102"/>
      <c r="F182" s="102"/>
      <c r="G182" s="102"/>
      <c r="H182" s="102"/>
      <c r="I182" s="102"/>
      <c r="J182" s="102"/>
      <c r="K182" s="102"/>
      <c r="L182" s="102"/>
      <c r="M182" s="102"/>
      <c r="N182" s="102"/>
      <c r="O182" s="103"/>
      <c r="P182" s="5"/>
    </row>
    <row r="183" spans="1:16" ht="15.6" x14ac:dyDescent="0.3">
      <c r="A183" s="65"/>
      <c r="B183" s="58" t="s">
        <v>66</v>
      </c>
      <c r="C183" s="66"/>
      <c r="D183" s="67"/>
      <c r="E183" s="67"/>
      <c r="F183" s="67"/>
      <c r="G183" s="67"/>
      <c r="H183" s="67"/>
      <c r="I183" s="67"/>
      <c r="J183" s="67"/>
      <c r="K183" s="67"/>
      <c r="L183" s="68">
        <v>39233</v>
      </c>
      <c r="M183" s="4"/>
      <c r="N183" s="4"/>
      <c r="O183" s="4"/>
      <c r="P183" s="5"/>
    </row>
    <row r="184" spans="1:16" ht="15.6" x14ac:dyDescent="0.3">
      <c r="A184" s="69"/>
      <c r="B184" s="70"/>
      <c r="C184" s="71"/>
      <c r="D184" s="72"/>
      <c r="E184" s="72"/>
      <c r="F184" s="72"/>
      <c r="G184" s="72"/>
      <c r="H184" s="72"/>
      <c r="I184" s="72"/>
      <c r="J184" s="72"/>
      <c r="K184" s="72"/>
      <c r="L184" s="72"/>
      <c r="M184" s="8"/>
      <c r="N184" s="8"/>
      <c r="O184" s="8"/>
      <c r="P184" s="5"/>
    </row>
    <row r="185" spans="1:16" ht="15.6" x14ac:dyDescent="0.3">
      <c r="A185" s="73"/>
      <c r="B185" s="74" t="s">
        <v>67</v>
      </c>
      <c r="C185" s="75"/>
      <c r="D185" s="62"/>
      <c r="E185" s="62"/>
      <c r="F185" s="62"/>
      <c r="G185" s="62"/>
      <c r="H185" s="62"/>
      <c r="I185" s="62"/>
      <c r="J185" s="62"/>
      <c r="K185" s="62"/>
      <c r="L185" s="76">
        <v>7.2950000000000001E-2</v>
      </c>
      <c r="M185" s="25"/>
      <c r="N185" s="25"/>
      <c r="O185" s="25"/>
      <c r="P185" s="5"/>
    </row>
    <row r="186" spans="1:16" ht="15.6" x14ac:dyDescent="0.3">
      <c r="A186" s="73"/>
      <c r="B186" s="74" t="s">
        <v>213</v>
      </c>
      <c r="C186" s="75"/>
      <c r="D186" s="62"/>
      <c r="E186" s="62"/>
      <c r="F186" s="62"/>
      <c r="G186" s="62"/>
      <c r="H186" s="62"/>
      <c r="I186" s="62"/>
      <c r="J186" s="62"/>
      <c r="K186" s="62"/>
      <c r="L186" s="39">
        <v>5.79E-2</v>
      </c>
      <c r="M186" s="25"/>
      <c r="N186" s="25"/>
      <c r="O186" s="25"/>
      <c r="P186" s="5"/>
    </row>
    <row r="187" spans="1:16" ht="15.6" x14ac:dyDescent="0.3">
      <c r="A187" s="73"/>
      <c r="B187" s="74" t="s">
        <v>68</v>
      </c>
      <c r="C187" s="75"/>
      <c r="D187" s="62"/>
      <c r="E187" s="62"/>
      <c r="F187" s="62"/>
      <c r="G187" s="62"/>
      <c r="H187" s="62"/>
      <c r="I187" s="62"/>
      <c r="J187" s="62"/>
      <c r="K187" s="62"/>
      <c r="L187" s="76">
        <f>L185-L186</f>
        <v>1.5050000000000001E-2</v>
      </c>
      <c r="M187" s="25"/>
      <c r="N187" s="25"/>
      <c r="O187" s="25"/>
      <c r="P187" s="5"/>
    </row>
    <row r="188" spans="1:16" ht="15.6" x14ac:dyDescent="0.3">
      <c r="A188" s="73"/>
      <c r="B188" s="74" t="s">
        <v>69</v>
      </c>
      <c r="C188" s="75"/>
      <c r="D188" s="62"/>
      <c r="E188" s="62"/>
      <c r="F188" s="62"/>
      <c r="G188" s="62"/>
      <c r="H188" s="62"/>
      <c r="I188" s="62"/>
      <c r="J188" s="62"/>
      <c r="K188" s="62"/>
      <c r="L188" s="76">
        <v>7.5679999999999997E-2</v>
      </c>
      <c r="M188" s="25"/>
      <c r="N188" s="25"/>
      <c r="O188" s="25"/>
      <c r="P188" s="5"/>
    </row>
    <row r="189" spans="1:16" ht="15.6" x14ac:dyDescent="0.3">
      <c r="A189" s="73"/>
      <c r="B189" s="74" t="s">
        <v>212</v>
      </c>
      <c r="C189" s="75"/>
      <c r="D189" s="62"/>
      <c r="E189" s="62"/>
      <c r="F189" s="62"/>
      <c r="G189" s="62"/>
      <c r="H189" s="62"/>
      <c r="I189" s="62"/>
      <c r="J189" s="62"/>
      <c r="K189" s="62"/>
      <c r="L189" s="76">
        <f>N34</f>
        <v>5.7863372002978399E-2</v>
      </c>
      <c r="M189" s="25"/>
      <c r="N189" s="25"/>
      <c r="O189" s="25"/>
      <c r="P189" s="5"/>
    </row>
    <row r="190" spans="1:16" ht="15.6" x14ac:dyDescent="0.3">
      <c r="A190" s="73"/>
      <c r="B190" s="74" t="s">
        <v>70</v>
      </c>
      <c r="C190" s="75"/>
      <c r="D190" s="62"/>
      <c r="E190" s="62"/>
      <c r="F190" s="62"/>
      <c r="G190" s="62"/>
      <c r="H190" s="62"/>
      <c r="I190" s="62"/>
      <c r="J190" s="62"/>
      <c r="K190" s="62"/>
      <c r="L190" s="76">
        <f>L188-L189</f>
        <v>1.7816627997021599E-2</v>
      </c>
      <c r="M190" s="25"/>
      <c r="N190" s="25"/>
      <c r="O190" s="25"/>
      <c r="P190" s="5"/>
    </row>
    <row r="191" spans="1:16" ht="15.6" x14ac:dyDescent="0.3">
      <c r="A191" s="73"/>
      <c r="B191" s="74" t="s">
        <v>203</v>
      </c>
      <c r="C191" s="75"/>
      <c r="D191" s="62"/>
      <c r="E191" s="62"/>
      <c r="F191" s="62"/>
      <c r="G191" s="62"/>
      <c r="H191" s="62"/>
      <c r="I191" s="62"/>
      <c r="J191" s="62"/>
      <c r="K191" s="62"/>
      <c r="L191" s="76">
        <f>(+N87+N89)/D60</f>
        <v>3.0216730221557176E-2</v>
      </c>
      <c r="M191" s="25"/>
      <c r="N191" s="25"/>
      <c r="O191" s="25"/>
      <c r="P191" s="5"/>
    </row>
    <row r="192" spans="1:16" ht="15.6" x14ac:dyDescent="0.3">
      <c r="A192" s="73"/>
      <c r="B192" s="74" t="s">
        <v>171</v>
      </c>
      <c r="C192" s="75"/>
      <c r="D192" s="62"/>
      <c r="E192" s="62"/>
      <c r="F192" s="62"/>
      <c r="G192" s="62"/>
      <c r="H192" s="62"/>
      <c r="I192" s="62"/>
      <c r="J192" s="62"/>
      <c r="K192" s="62"/>
      <c r="L192" s="122">
        <v>48823</v>
      </c>
      <c r="M192" s="25"/>
      <c r="N192" s="25"/>
      <c r="O192" s="25"/>
      <c r="P192" s="5"/>
    </row>
    <row r="193" spans="1:16" ht="15.6" x14ac:dyDescent="0.3">
      <c r="A193" s="73"/>
      <c r="B193" s="74" t="s">
        <v>172</v>
      </c>
      <c r="C193" s="75"/>
      <c r="D193" s="62"/>
      <c r="E193" s="62"/>
      <c r="F193" s="62"/>
      <c r="G193" s="62"/>
      <c r="H193" s="62"/>
      <c r="I193" s="62"/>
      <c r="J193" s="62"/>
      <c r="K193" s="62"/>
      <c r="L193" s="122">
        <v>48823</v>
      </c>
      <c r="M193" s="25"/>
      <c r="N193" s="25"/>
      <c r="O193" s="25"/>
      <c r="P193" s="5"/>
    </row>
    <row r="194" spans="1:16" ht="15.6" x14ac:dyDescent="0.3">
      <c r="A194" s="73"/>
      <c r="B194" s="74" t="s">
        <v>173</v>
      </c>
      <c r="C194" s="75"/>
      <c r="D194" s="62"/>
      <c r="E194" s="62"/>
      <c r="F194" s="62"/>
      <c r="G194" s="62"/>
      <c r="H194" s="62"/>
      <c r="I194" s="62"/>
      <c r="J194" s="62"/>
      <c r="K194" s="62"/>
      <c r="L194" s="122">
        <v>48823</v>
      </c>
      <c r="M194" s="25"/>
      <c r="N194" s="25"/>
      <c r="O194" s="25"/>
      <c r="P194" s="5"/>
    </row>
    <row r="195" spans="1:16" ht="15.6" x14ac:dyDescent="0.3">
      <c r="A195" s="73"/>
      <c r="B195" s="74" t="s">
        <v>71</v>
      </c>
      <c r="C195" s="75"/>
      <c r="D195" s="62"/>
      <c r="E195" s="62"/>
      <c r="F195" s="62"/>
      <c r="G195" s="62"/>
      <c r="H195" s="62"/>
      <c r="I195" s="62"/>
      <c r="J195" s="62"/>
      <c r="K195" s="62"/>
      <c r="L195" s="126">
        <v>9.93</v>
      </c>
      <c r="M195" s="25" t="s">
        <v>110</v>
      </c>
      <c r="N195" s="25"/>
      <c r="O195" s="25"/>
      <c r="P195" s="5"/>
    </row>
    <row r="196" spans="1:16" ht="15.6" x14ac:dyDescent="0.3">
      <c r="A196" s="73"/>
      <c r="B196" s="74" t="s">
        <v>72</v>
      </c>
      <c r="C196" s="75"/>
      <c r="D196" s="62"/>
      <c r="E196" s="62"/>
      <c r="F196" s="62"/>
      <c r="G196" s="62"/>
      <c r="H196" s="62"/>
      <c r="I196" s="62"/>
      <c r="J196" s="62"/>
      <c r="K196" s="62"/>
      <c r="L196" s="126">
        <v>9.4600000000000009</v>
      </c>
      <c r="M196" s="25" t="s">
        <v>110</v>
      </c>
      <c r="N196" s="25"/>
      <c r="O196" s="25"/>
      <c r="P196" s="5"/>
    </row>
    <row r="197" spans="1:16" ht="15.6" x14ac:dyDescent="0.3">
      <c r="A197" s="73"/>
      <c r="B197" s="74" t="s">
        <v>73</v>
      </c>
      <c r="C197" s="75"/>
      <c r="D197" s="62"/>
      <c r="E197" s="62"/>
      <c r="F197" s="62"/>
      <c r="G197" s="62"/>
      <c r="H197" s="62"/>
      <c r="I197" s="62"/>
      <c r="J197" s="62"/>
      <c r="K197" s="62"/>
      <c r="L197" s="76">
        <f>+H57/F57</f>
        <v>0.15114404334146295</v>
      </c>
      <c r="M197" s="25"/>
      <c r="N197" s="25"/>
      <c r="O197" s="25"/>
      <c r="P197" s="5"/>
    </row>
    <row r="198" spans="1:16" ht="15.6" x14ac:dyDescent="0.3">
      <c r="A198" s="73"/>
      <c r="B198" s="74" t="s">
        <v>74</v>
      </c>
      <c r="C198" s="75"/>
      <c r="D198" s="62"/>
      <c r="E198" s="62"/>
      <c r="F198" s="62"/>
      <c r="G198" s="62"/>
      <c r="H198" s="62"/>
      <c r="I198" s="62"/>
      <c r="J198" s="62"/>
      <c r="K198" s="62"/>
      <c r="L198" s="76">
        <v>0.37590000000000001</v>
      </c>
      <c r="M198" s="25"/>
      <c r="N198" s="25"/>
      <c r="O198" s="25"/>
      <c r="P198" s="5"/>
    </row>
    <row r="199" spans="1:16" ht="15.6" x14ac:dyDescent="0.3">
      <c r="A199" s="73"/>
      <c r="B199" s="74"/>
      <c r="C199" s="74"/>
      <c r="D199" s="25"/>
      <c r="E199" s="25"/>
      <c r="F199" s="25"/>
      <c r="G199" s="25"/>
      <c r="H199" s="25"/>
      <c r="I199" s="25"/>
      <c r="J199" s="25"/>
      <c r="K199" s="25"/>
      <c r="L199" s="59"/>
      <c r="M199" s="25"/>
      <c r="N199" s="77"/>
      <c r="O199" s="25"/>
      <c r="P199" s="5"/>
    </row>
    <row r="200" spans="1:16" ht="15.6" x14ac:dyDescent="0.3">
      <c r="A200" s="78"/>
      <c r="B200" s="14" t="s">
        <v>75</v>
      </c>
      <c r="C200" s="79"/>
      <c r="D200" s="17"/>
      <c r="E200" s="17"/>
      <c r="F200" s="17"/>
      <c r="G200" s="17"/>
      <c r="H200" s="17"/>
      <c r="I200" s="17"/>
      <c r="J200" s="17"/>
      <c r="K200" s="17" t="s">
        <v>99</v>
      </c>
      <c r="L200" s="80" t="s">
        <v>106</v>
      </c>
      <c r="M200" s="8"/>
      <c r="N200" s="8"/>
      <c r="O200" s="8"/>
      <c r="P200" s="5"/>
    </row>
    <row r="201" spans="1:16" ht="15.6" x14ac:dyDescent="0.3">
      <c r="A201" s="81"/>
      <c r="B201" s="74" t="s">
        <v>76</v>
      </c>
      <c r="C201" s="53"/>
      <c r="D201" s="30"/>
      <c r="E201" s="30"/>
      <c r="F201" s="30"/>
      <c r="G201" s="30"/>
      <c r="H201" s="30"/>
      <c r="I201" s="30"/>
      <c r="J201" s="30"/>
      <c r="K201" s="30">
        <v>30</v>
      </c>
      <c r="L201" s="82">
        <v>2191</v>
      </c>
      <c r="M201" s="25"/>
      <c r="N201" s="77"/>
      <c r="O201" s="83"/>
      <c r="P201" s="5"/>
    </row>
    <row r="202" spans="1:16" ht="15.6" x14ac:dyDescent="0.3">
      <c r="A202" s="81"/>
      <c r="B202" s="74" t="s">
        <v>136</v>
      </c>
      <c r="C202" s="53"/>
      <c r="D202" s="30"/>
      <c r="E202" s="30"/>
      <c r="F202" s="30"/>
      <c r="G202" s="30"/>
      <c r="H202" s="30"/>
      <c r="I202" s="30"/>
      <c r="J202" s="30"/>
      <c r="K202" s="142">
        <f>+J252</f>
        <v>0</v>
      </c>
      <c r="L202" s="82">
        <f>+L252</f>
        <v>0</v>
      </c>
      <c r="M202" s="25"/>
      <c r="N202" s="77"/>
      <c r="O202" s="83"/>
      <c r="P202" s="5"/>
    </row>
    <row r="203" spans="1:16" ht="15.6" x14ac:dyDescent="0.3">
      <c r="A203" s="81"/>
      <c r="B203" s="74" t="s">
        <v>77</v>
      </c>
      <c r="C203" s="53"/>
      <c r="D203" s="30"/>
      <c r="E203" s="30"/>
      <c r="F203" s="30"/>
      <c r="G203" s="30"/>
      <c r="H203" s="30"/>
      <c r="I203" s="30"/>
      <c r="J203" s="30"/>
      <c r="K203" s="142">
        <f>+J269</f>
        <v>1</v>
      </c>
      <c r="L203" s="82">
        <f>+L269</f>
        <v>141</v>
      </c>
      <c r="M203" s="25"/>
      <c r="N203" s="77"/>
      <c r="O203" s="83"/>
      <c r="P203" s="5"/>
    </row>
    <row r="204" spans="1:16" ht="15.6" x14ac:dyDescent="0.3">
      <c r="A204" s="81"/>
      <c r="B204" s="117" t="s">
        <v>78</v>
      </c>
      <c r="C204" s="53"/>
      <c r="D204" s="25"/>
      <c r="E204" s="25"/>
      <c r="F204" s="25"/>
      <c r="G204" s="25"/>
      <c r="H204" s="25"/>
      <c r="I204" s="25"/>
      <c r="J204" s="25"/>
      <c r="K204" s="25"/>
      <c r="L204" s="82">
        <v>0</v>
      </c>
      <c r="M204" s="25"/>
      <c r="N204" s="77"/>
      <c r="O204" s="83"/>
      <c r="P204" s="5"/>
    </row>
    <row r="205" spans="1:16" ht="15.6" x14ac:dyDescent="0.3">
      <c r="A205" s="81"/>
      <c r="B205" s="117" t="s">
        <v>79</v>
      </c>
      <c r="C205" s="53"/>
      <c r="D205" s="25"/>
      <c r="E205" s="25"/>
      <c r="F205" s="25"/>
      <c r="G205" s="25"/>
      <c r="H205" s="25"/>
      <c r="I205" s="25"/>
      <c r="J205" s="25"/>
      <c r="K205" s="25"/>
      <c r="L205" s="60" t="s">
        <v>107</v>
      </c>
      <c r="M205" s="25"/>
      <c r="N205" s="77"/>
      <c r="O205" s="83"/>
      <c r="P205" s="5"/>
    </row>
    <row r="206" spans="1:16" ht="15.6" x14ac:dyDescent="0.3">
      <c r="A206" s="84"/>
      <c r="B206" s="117" t="s">
        <v>80</v>
      </c>
      <c r="C206" s="74"/>
      <c r="D206" s="25"/>
      <c r="E206" s="25"/>
      <c r="F206" s="25"/>
      <c r="G206" s="25"/>
      <c r="H206" s="25"/>
      <c r="I206" s="25"/>
      <c r="J206" s="25"/>
      <c r="K206" s="25"/>
      <c r="L206" s="82"/>
      <c r="M206" s="25"/>
      <c r="N206" s="77"/>
      <c r="O206" s="85"/>
      <c r="P206" s="5"/>
    </row>
    <row r="207" spans="1:16" ht="15.6" x14ac:dyDescent="0.3">
      <c r="A207" s="84"/>
      <c r="B207" s="124" t="s">
        <v>81</v>
      </c>
      <c r="C207" s="74"/>
      <c r="D207" s="25"/>
      <c r="E207" s="25"/>
      <c r="F207" s="25"/>
      <c r="G207" s="25"/>
      <c r="H207" s="25"/>
      <c r="I207" s="25"/>
      <c r="J207" s="25"/>
      <c r="K207" s="30"/>
      <c r="L207" s="82">
        <f>N144</f>
        <v>34</v>
      </c>
      <c r="M207" s="25"/>
      <c r="N207" s="77"/>
      <c r="O207" s="85"/>
      <c r="P207" s="5"/>
    </row>
    <row r="208" spans="1:16" ht="15.6" x14ac:dyDescent="0.3">
      <c r="A208" s="81"/>
      <c r="B208" s="74" t="s">
        <v>82</v>
      </c>
      <c r="C208" s="53"/>
      <c r="D208" s="25"/>
      <c r="E208" s="25"/>
      <c r="F208" s="25"/>
      <c r="G208" s="25"/>
      <c r="H208" s="25"/>
      <c r="I208" s="25"/>
      <c r="J208" s="25"/>
      <c r="K208" s="30"/>
      <c r="L208" s="82">
        <f>+L207</f>
        <v>34</v>
      </c>
      <c r="M208" s="25"/>
      <c r="N208" s="77"/>
      <c r="O208" s="85"/>
      <c r="P208" s="5"/>
    </row>
    <row r="209" spans="1:17" ht="15.6" x14ac:dyDescent="0.3">
      <c r="A209" s="84"/>
      <c r="B209" s="117" t="s">
        <v>253</v>
      </c>
      <c r="C209" s="74"/>
      <c r="D209" s="25"/>
      <c r="E209" s="25"/>
      <c r="F209" s="25"/>
      <c r="G209" s="25"/>
      <c r="H209" s="25"/>
      <c r="I209" s="25"/>
      <c r="J209" s="25"/>
      <c r="K209" s="30"/>
      <c r="L209" s="82"/>
      <c r="M209" s="25"/>
      <c r="N209" s="77"/>
      <c r="O209" s="85"/>
      <c r="P209" s="5"/>
    </row>
    <row r="210" spans="1:17" ht="15.6" x14ac:dyDescent="0.3">
      <c r="A210" s="84"/>
      <c r="B210" s="74" t="s">
        <v>250</v>
      </c>
      <c r="C210" s="74"/>
      <c r="D210" s="25"/>
      <c r="E210" s="25"/>
      <c r="F210" s="25"/>
      <c r="G210" s="25"/>
      <c r="H210" s="25"/>
      <c r="I210" s="25"/>
      <c r="J210" s="25"/>
      <c r="K210" s="30">
        <v>4</v>
      </c>
      <c r="L210" s="82">
        <v>222</v>
      </c>
      <c r="M210" s="25"/>
      <c r="N210" s="77"/>
      <c r="O210" s="85"/>
      <c r="P210" s="5"/>
    </row>
    <row r="211" spans="1:17" ht="15.6" x14ac:dyDescent="0.3">
      <c r="A211" s="81"/>
      <c r="B211" s="74" t="s">
        <v>83</v>
      </c>
      <c r="C211" s="86"/>
      <c r="D211" s="25"/>
      <c r="E211" s="25"/>
      <c r="F211" s="25"/>
      <c r="G211" s="25"/>
      <c r="H211" s="25"/>
      <c r="I211" s="25"/>
      <c r="J211" s="25"/>
      <c r="K211" s="25"/>
      <c r="L211" s="60">
        <v>7.96</v>
      </c>
      <c r="M211" s="25"/>
      <c r="N211" s="77"/>
      <c r="O211" s="85"/>
      <c r="P211" s="5"/>
    </row>
    <row r="212" spans="1:17" ht="15.6" x14ac:dyDescent="0.3">
      <c r="A212" s="81"/>
      <c r="B212" s="74" t="s">
        <v>84</v>
      </c>
      <c r="C212" s="86"/>
      <c r="D212" s="25"/>
      <c r="E212" s="25"/>
      <c r="F212" s="25"/>
      <c r="G212" s="25"/>
      <c r="H212" s="25"/>
      <c r="I212" s="25"/>
      <c r="J212" s="25"/>
      <c r="K212" s="25"/>
      <c r="L212" s="60">
        <v>3.75</v>
      </c>
      <c r="M212" s="25"/>
      <c r="N212" s="77"/>
      <c r="O212" s="85"/>
      <c r="P212" s="5"/>
    </row>
    <row r="213" spans="1:17" ht="15.6" x14ac:dyDescent="0.3">
      <c r="A213" s="81"/>
      <c r="B213" s="117" t="s">
        <v>177</v>
      </c>
      <c r="C213" s="86"/>
      <c r="D213" s="25"/>
      <c r="E213" s="25"/>
      <c r="F213" s="25"/>
      <c r="G213" s="25"/>
      <c r="H213" s="25"/>
      <c r="I213" s="25"/>
      <c r="J213" s="25"/>
      <c r="K213" s="25"/>
      <c r="L213" s="87"/>
      <c r="M213" s="25"/>
      <c r="N213" s="77"/>
      <c r="O213" s="85"/>
      <c r="P213" s="5"/>
    </row>
    <row r="214" spans="1:17" ht="15.6" x14ac:dyDescent="0.3">
      <c r="A214" s="81"/>
      <c r="B214" s="74" t="s">
        <v>250</v>
      </c>
      <c r="C214" s="86"/>
      <c r="D214" s="25"/>
      <c r="E214" s="25"/>
      <c r="F214" s="25"/>
      <c r="G214" s="25"/>
      <c r="H214" s="25"/>
      <c r="I214" s="25"/>
      <c r="J214" s="25"/>
      <c r="K214" s="30">
        <v>0</v>
      </c>
      <c r="L214" s="82">
        <v>0</v>
      </c>
      <c r="M214" s="25"/>
      <c r="N214" s="77"/>
      <c r="O214" s="85"/>
      <c r="P214" s="5"/>
    </row>
    <row r="215" spans="1:17" ht="15.6" x14ac:dyDescent="0.3">
      <c r="A215" s="81"/>
      <c r="B215" s="74" t="s">
        <v>178</v>
      </c>
      <c r="C215" s="86"/>
      <c r="D215" s="25"/>
      <c r="E215" s="25"/>
      <c r="F215" s="25"/>
      <c r="G215" s="25"/>
      <c r="H215" s="25"/>
      <c r="I215" s="25"/>
      <c r="J215" s="25"/>
      <c r="K215" s="25"/>
      <c r="L215" s="60">
        <v>0</v>
      </c>
      <c r="M215" s="25"/>
      <c r="N215" s="77"/>
      <c r="O215" s="85"/>
      <c r="P215" s="5"/>
    </row>
    <row r="216" spans="1:17" ht="15.6" x14ac:dyDescent="0.3">
      <c r="A216" s="81"/>
      <c r="B216" s="74"/>
      <c r="C216" s="86"/>
      <c r="D216" s="25"/>
      <c r="E216" s="25"/>
      <c r="F216" s="25"/>
      <c r="G216" s="25"/>
      <c r="H216" s="25"/>
      <c r="I216" s="25"/>
      <c r="J216" s="25"/>
      <c r="K216" s="25"/>
      <c r="L216" s="87"/>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7.399999999999999" x14ac:dyDescent="0.3">
      <c r="A218" s="81"/>
      <c r="B218" s="140" t="s">
        <v>155</v>
      </c>
      <c r="C218" s="86"/>
      <c r="D218" s="25"/>
      <c r="E218" s="25"/>
      <c r="F218" s="25"/>
      <c r="G218" s="25"/>
      <c r="H218" s="141" t="s">
        <v>154</v>
      </c>
      <c r="I218" s="25"/>
      <c r="J218" s="25"/>
      <c r="K218" s="25"/>
      <c r="L218" s="87"/>
      <c r="M218" s="25"/>
      <c r="N218" s="77"/>
      <c r="O218" s="85"/>
      <c r="P218" s="5"/>
    </row>
    <row r="219" spans="1:17" ht="15.6" x14ac:dyDescent="0.3">
      <c r="A219" s="81"/>
      <c r="B219" s="74"/>
      <c r="C219" s="86"/>
      <c r="D219" s="25"/>
      <c r="E219" s="25"/>
      <c r="F219" s="25"/>
      <c r="G219" s="25"/>
      <c r="H219" s="25"/>
      <c r="I219" s="25"/>
      <c r="J219" s="25"/>
      <c r="K219" s="25"/>
      <c r="L219" s="87"/>
      <c r="M219" s="25"/>
      <c r="N219" s="77"/>
      <c r="O219" s="85"/>
      <c r="P219" s="5"/>
    </row>
    <row r="220" spans="1:17" ht="15.6" x14ac:dyDescent="0.3">
      <c r="A220" s="6"/>
      <c r="B220" s="14" t="s">
        <v>149</v>
      </c>
      <c r="C220" s="79"/>
      <c r="D220" s="17"/>
      <c r="E220" s="17"/>
      <c r="F220" s="17"/>
      <c r="G220" s="17"/>
      <c r="H220" s="17"/>
      <c r="I220" s="17"/>
      <c r="J220" s="80" t="s">
        <v>99</v>
      </c>
      <c r="K220" s="17" t="s">
        <v>100</v>
      </c>
      <c r="L220" s="80" t="s">
        <v>108</v>
      </c>
      <c r="M220" s="17" t="s">
        <v>100</v>
      </c>
      <c r="N220" s="8"/>
      <c r="O220" s="88"/>
      <c r="P220" s="5"/>
    </row>
    <row r="221" spans="1:17" ht="15.6" x14ac:dyDescent="0.3">
      <c r="A221" s="24"/>
      <c r="B221" s="53" t="s">
        <v>85</v>
      </c>
      <c r="C221" s="89"/>
      <c r="D221" s="89"/>
      <c r="E221" s="89"/>
      <c r="F221" s="89"/>
      <c r="G221" s="89"/>
      <c r="H221" s="89"/>
      <c r="I221" s="89"/>
      <c r="J221" s="53">
        <v>4789</v>
      </c>
      <c r="K221" s="90">
        <f t="shared" ref="K221:K233" si="1">J221/$J$235</f>
        <v>0.92774118558698182</v>
      </c>
      <c r="L221" s="52">
        <v>213691</v>
      </c>
      <c r="M221" s="125">
        <f t="shared" ref="M221:M233" si="2">L221/$L$235</f>
        <v>0.90530155394756906</v>
      </c>
      <c r="N221" s="77"/>
      <c r="O221" s="85"/>
      <c r="P221" s="5"/>
    </row>
    <row r="222" spans="1:17" ht="15.6" x14ac:dyDescent="0.3">
      <c r="A222" s="24"/>
      <c r="B222" s="53" t="s">
        <v>86</v>
      </c>
      <c r="C222" s="89"/>
      <c r="D222" s="89"/>
      <c r="E222" s="89"/>
      <c r="F222" s="89"/>
      <c r="G222" s="89"/>
      <c r="H222" s="89"/>
      <c r="I222" s="89"/>
      <c r="J222" s="53">
        <v>153</v>
      </c>
      <c r="K222" s="90">
        <f t="shared" si="1"/>
        <v>2.9639674544750097E-2</v>
      </c>
      <c r="L222" s="52">
        <v>7908</v>
      </c>
      <c r="M222" s="125">
        <f t="shared" si="2"/>
        <v>3.3502228398095267E-2</v>
      </c>
      <c r="N222" s="77"/>
      <c r="O222" s="85"/>
      <c r="P222" s="5"/>
      <c r="Q222" s="104"/>
    </row>
    <row r="223" spans="1:17" ht="15.6" x14ac:dyDescent="0.3">
      <c r="A223" s="24"/>
      <c r="B223" s="53" t="s">
        <v>87</v>
      </c>
      <c r="C223" s="89"/>
      <c r="D223" s="89"/>
      <c r="E223" s="89"/>
      <c r="F223" s="89"/>
      <c r="G223" s="89"/>
      <c r="H223" s="89"/>
      <c r="I223" s="89"/>
      <c r="J223" s="53">
        <v>74</v>
      </c>
      <c r="K223" s="90">
        <f t="shared" si="1"/>
        <v>1.4335528864781092E-2</v>
      </c>
      <c r="L223" s="52">
        <v>4134</v>
      </c>
      <c r="M223" s="125">
        <f t="shared" si="2"/>
        <v>1.751368388944434E-2</v>
      </c>
      <c r="N223" s="77"/>
      <c r="O223" s="85"/>
      <c r="P223" s="5"/>
    </row>
    <row r="224" spans="1:17" ht="15.6" x14ac:dyDescent="0.3">
      <c r="A224" s="24"/>
      <c r="B224" s="53" t="s">
        <v>145</v>
      </c>
      <c r="C224" s="89"/>
      <c r="D224" s="89"/>
      <c r="E224" s="89"/>
      <c r="F224" s="89"/>
      <c r="G224" s="89"/>
      <c r="H224" s="89"/>
      <c r="I224" s="89"/>
      <c r="J224" s="53">
        <v>33</v>
      </c>
      <c r="K224" s="90">
        <f t="shared" si="1"/>
        <v>6.3928709802402173E-3</v>
      </c>
      <c r="L224" s="52">
        <v>1976</v>
      </c>
      <c r="M224" s="125">
        <f t="shared" si="2"/>
        <v>8.3713206012438358E-3</v>
      </c>
      <c r="N224" s="77"/>
      <c r="O224" s="85"/>
      <c r="P224" s="5"/>
      <c r="Q224" s="104"/>
    </row>
    <row r="225" spans="1:17" ht="15.6" x14ac:dyDescent="0.3">
      <c r="A225" s="24"/>
      <c r="B225" s="53" t="s">
        <v>146</v>
      </c>
      <c r="C225" s="89"/>
      <c r="D225" s="89"/>
      <c r="E225" s="89"/>
      <c r="F225" s="89"/>
      <c r="G225" s="89"/>
      <c r="H225" s="89"/>
      <c r="I225" s="89"/>
      <c r="J225" s="53">
        <v>26</v>
      </c>
      <c r="K225" s="90">
        <f t="shared" si="1"/>
        <v>5.036807438977141E-3</v>
      </c>
      <c r="L225" s="52">
        <v>1640</v>
      </c>
      <c r="M225" s="125">
        <f t="shared" si="2"/>
        <v>6.9478571791699853E-3</v>
      </c>
      <c r="N225" s="77"/>
      <c r="O225" s="85"/>
      <c r="P225" s="5"/>
    </row>
    <row r="226" spans="1:17" ht="15.6" x14ac:dyDescent="0.3">
      <c r="A226" s="24"/>
      <c r="B226" s="53" t="s">
        <v>147</v>
      </c>
      <c r="C226" s="89"/>
      <c r="D226" s="89"/>
      <c r="E226" s="89"/>
      <c r="F226" s="89"/>
      <c r="G226" s="89"/>
      <c r="H226" s="89"/>
      <c r="I226" s="89"/>
      <c r="J226" s="53">
        <v>19</v>
      </c>
      <c r="K226" s="90">
        <f t="shared" si="1"/>
        <v>3.6807438977140643E-3</v>
      </c>
      <c r="L226" s="52">
        <v>1185</v>
      </c>
      <c r="M226" s="125">
        <f t="shared" si="2"/>
        <v>5.0202504617783122E-3</v>
      </c>
      <c r="N226" s="77"/>
      <c r="O226" s="85"/>
      <c r="P226" s="5"/>
      <c r="Q226" s="104"/>
    </row>
    <row r="227" spans="1:17" ht="15.6" x14ac:dyDescent="0.3">
      <c r="A227" s="24"/>
      <c r="B227" s="53" t="s">
        <v>227</v>
      </c>
      <c r="C227" s="89"/>
      <c r="D227" s="89"/>
      <c r="E227" s="89"/>
      <c r="F227" s="89"/>
      <c r="G227" s="89"/>
      <c r="H227" s="89"/>
      <c r="I227" s="89"/>
      <c r="J227" s="53">
        <v>31</v>
      </c>
      <c r="K227" s="90">
        <f t="shared" si="1"/>
        <v>6.0054242541650524E-3</v>
      </c>
      <c r="L227" s="52">
        <v>2111</v>
      </c>
      <c r="M227" s="125">
        <f t="shared" si="2"/>
        <v>8.9432478690413646E-3</v>
      </c>
      <c r="N227" s="77"/>
      <c r="O227" s="85"/>
      <c r="P227" s="5"/>
    </row>
    <row r="228" spans="1:17" ht="15.6" x14ac:dyDescent="0.3">
      <c r="A228" s="24"/>
      <c r="B228" s="53" t="s">
        <v>228</v>
      </c>
      <c r="C228" s="89"/>
      <c r="D228" s="89"/>
      <c r="E228" s="89"/>
      <c r="F228" s="89"/>
      <c r="G228" s="89"/>
      <c r="H228" s="89"/>
      <c r="I228" s="89"/>
      <c r="J228" s="53">
        <v>18</v>
      </c>
      <c r="K228" s="90">
        <f t="shared" si="1"/>
        <v>3.4870205346764819E-3</v>
      </c>
      <c r="L228" s="52">
        <v>2013</v>
      </c>
      <c r="M228" s="125">
        <f t="shared" si="2"/>
        <v>8.5280710376031583E-3</v>
      </c>
      <c r="N228" s="77"/>
      <c r="O228" s="85"/>
      <c r="P228" s="5"/>
      <c r="Q228" s="104"/>
    </row>
    <row r="229" spans="1:17" ht="15.6" x14ac:dyDescent="0.3">
      <c r="A229" s="24"/>
      <c r="B229" s="53" t="s">
        <v>229</v>
      </c>
      <c r="C229" s="89"/>
      <c r="D229" s="89"/>
      <c r="E229" s="89"/>
      <c r="F229" s="89"/>
      <c r="G229" s="89"/>
      <c r="H229" s="89"/>
      <c r="I229" s="89"/>
      <c r="J229" s="53">
        <v>10</v>
      </c>
      <c r="K229" s="90">
        <f t="shared" si="1"/>
        <v>1.9372336303758234E-3</v>
      </c>
      <c r="L229" s="52">
        <v>621</v>
      </c>
      <c r="M229" s="125">
        <f t="shared" si="2"/>
        <v>2.6308654318686346E-3</v>
      </c>
      <c r="N229" s="77"/>
      <c r="O229" s="85"/>
      <c r="P229" s="5"/>
      <c r="Q229" s="104"/>
    </row>
    <row r="230" spans="1:17" ht="15.6" x14ac:dyDescent="0.3">
      <c r="A230" s="24"/>
      <c r="B230" s="53" t="s">
        <v>230</v>
      </c>
      <c r="C230" s="89"/>
      <c r="D230" s="89"/>
      <c r="E230" s="89"/>
      <c r="F230" s="89"/>
      <c r="G230" s="89"/>
      <c r="H230" s="89"/>
      <c r="I230" s="89"/>
      <c r="J230" s="53">
        <v>4</v>
      </c>
      <c r="K230" s="90">
        <f t="shared" si="1"/>
        <v>7.7489345215032935E-4</v>
      </c>
      <c r="L230" s="52">
        <v>308</v>
      </c>
      <c r="M230" s="125">
        <f t="shared" si="2"/>
        <v>1.3048414702343631E-3</v>
      </c>
      <c r="N230" s="77"/>
      <c r="O230" s="85"/>
      <c r="P230" s="5"/>
      <c r="Q230" s="104"/>
    </row>
    <row r="231" spans="1:17" ht="15.6" x14ac:dyDescent="0.3">
      <c r="A231" s="24"/>
      <c r="B231" s="53" t="s">
        <v>231</v>
      </c>
      <c r="C231" s="89"/>
      <c r="D231" s="89"/>
      <c r="E231" s="89"/>
      <c r="F231" s="89"/>
      <c r="G231" s="89"/>
      <c r="H231" s="89"/>
      <c r="I231" s="89"/>
      <c r="J231" s="53">
        <v>3</v>
      </c>
      <c r="K231" s="90">
        <f t="shared" si="1"/>
        <v>5.8117008911274701E-4</v>
      </c>
      <c r="L231" s="52">
        <v>231</v>
      </c>
      <c r="M231" s="125">
        <f t="shared" si="2"/>
        <v>9.7863110267577239E-4</v>
      </c>
      <c r="N231" s="77"/>
      <c r="O231" s="85"/>
      <c r="P231" s="5"/>
      <c r="Q231" s="104"/>
    </row>
    <row r="232" spans="1:17" ht="15.6" x14ac:dyDescent="0.3">
      <c r="A232" s="24"/>
      <c r="B232" s="53" t="s">
        <v>232</v>
      </c>
      <c r="C232" s="89"/>
      <c r="D232" s="89"/>
      <c r="E232" s="89"/>
      <c r="F232" s="89"/>
      <c r="G232" s="89"/>
      <c r="H232" s="89"/>
      <c r="I232" s="89"/>
      <c r="J232" s="53">
        <v>1</v>
      </c>
      <c r="K232" s="90">
        <f t="shared" si="1"/>
        <v>1.9372336303758234E-4</v>
      </c>
      <c r="L232" s="52">
        <v>187</v>
      </c>
      <c r="M232" s="125">
        <f t="shared" si="2"/>
        <v>7.9222517835657758E-4</v>
      </c>
      <c r="N232" s="77"/>
      <c r="O232" s="85"/>
      <c r="P232" s="5"/>
      <c r="Q232" s="104"/>
    </row>
    <row r="233" spans="1:17" ht="15.6" x14ac:dyDescent="0.3">
      <c r="A233" s="24"/>
      <c r="B233" s="53" t="s">
        <v>233</v>
      </c>
      <c r="C233" s="89"/>
      <c r="D233" s="89"/>
      <c r="E233" s="89"/>
      <c r="F233" s="89"/>
      <c r="G233" s="89"/>
      <c r="H233" s="89"/>
      <c r="I233" s="89"/>
      <c r="J233" s="53">
        <v>1</v>
      </c>
      <c r="K233" s="90">
        <f t="shared" si="1"/>
        <v>1.9372336303758234E-4</v>
      </c>
      <c r="L233" s="52">
        <v>39</v>
      </c>
      <c r="M233" s="125">
        <f t="shared" si="2"/>
        <v>1.6522343291928624E-4</v>
      </c>
      <c r="N233" s="77"/>
      <c r="O233" s="85"/>
      <c r="P233" s="5"/>
      <c r="Q233" s="104"/>
    </row>
    <row r="234" spans="1:17" ht="15.6" x14ac:dyDescent="0.3">
      <c r="A234" s="24"/>
      <c r="B234" s="53"/>
      <c r="C234" s="89"/>
      <c r="D234" s="89"/>
      <c r="E234" s="89"/>
      <c r="F234" s="89"/>
      <c r="G234" s="89"/>
      <c r="H234" s="89"/>
      <c r="I234" s="89"/>
      <c r="J234" s="53"/>
      <c r="K234" s="90"/>
      <c r="L234" s="52"/>
      <c r="M234" s="125"/>
      <c r="N234" s="77"/>
      <c r="O234" s="85"/>
      <c r="P234" s="5"/>
      <c r="Q234" s="104"/>
    </row>
    <row r="235" spans="1:17" ht="15.6" x14ac:dyDescent="0.3">
      <c r="A235" s="24"/>
      <c r="B235" s="25"/>
      <c r="C235" s="25"/>
      <c r="D235" s="91"/>
      <c r="E235" s="91"/>
      <c r="F235" s="91"/>
      <c r="G235" s="91"/>
      <c r="H235" s="91"/>
      <c r="I235" s="91"/>
      <c r="J235" s="34">
        <f>SUM(J221:J234)</f>
        <v>5162</v>
      </c>
      <c r="K235" s="125">
        <f>SUM(K221:K234)</f>
        <v>1.0000000000000002</v>
      </c>
      <c r="L235" s="52">
        <f>SUM(L221:L234)</f>
        <v>236044</v>
      </c>
      <c r="M235" s="125">
        <f>SUM(M221:M234)</f>
        <v>0.99999999999999978</v>
      </c>
      <c r="N235" s="25"/>
      <c r="O235" s="25"/>
      <c r="P235" s="5"/>
    </row>
    <row r="236" spans="1:17" ht="15.6" x14ac:dyDescent="0.3">
      <c r="A236" s="24"/>
      <c r="B236" s="25"/>
      <c r="C236" s="25"/>
      <c r="D236" s="91"/>
      <c r="E236" s="91"/>
      <c r="F236" s="91"/>
      <c r="G236" s="91"/>
      <c r="H236" s="91"/>
      <c r="I236" s="91"/>
      <c r="J236" s="34"/>
      <c r="K236" s="125"/>
      <c r="L236" s="52"/>
      <c r="M236" s="125"/>
      <c r="N236" s="25"/>
      <c r="O236" s="25"/>
      <c r="P236" s="5"/>
    </row>
    <row r="237" spans="1:17" ht="15.6" x14ac:dyDescent="0.3">
      <c r="A237" s="133"/>
      <c r="B237" s="14" t="s">
        <v>204</v>
      </c>
      <c r="C237" s="79"/>
      <c r="D237" s="17"/>
      <c r="E237" s="17"/>
      <c r="F237" s="17"/>
      <c r="G237" s="17"/>
      <c r="H237" s="17"/>
      <c r="I237" s="17"/>
      <c r="J237" s="80" t="s">
        <v>99</v>
      </c>
      <c r="K237" s="17" t="s">
        <v>100</v>
      </c>
      <c r="L237" s="80" t="s">
        <v>108</v>
      </c>
      <c r="M237" s="17" t="s">
        <v>100</v>
      </c>
      <c r="N237" s="131"/>
      <c r="O237" s="132"/>
      <c r="P237" s="5"/>
    </row>
    <row r="238" spans="1:17" ht="15.6" x14ac:dyDescent="0.3">
      <c r="A238" s="24"/>
      <c r="B238" s="53" t="s">
        <v>85</v>
      </c>
      <c r="C238" s="89"/>
      <c r="D238" s="89"/>
      <c r="E238" s="89"/>
      <c r="F238" s="89"/>
      <c r="G238" s="89"/>
      <c r="H238" s="89"/>
      <c r="I238" s="89"/>
      <c r="J238" s="53">
        <v>0</v>
      </c>
      <c r="K238" s="90">
        <v>0</v>
      </c>
      <c r="L238" s="52">
        <v>0</v>
      </c>
      <c r="M238" s="125">
        <v>0</v>
      </c>
      <c r="N238" s="25"/>
      <c r="O238" s="25"/>
      <c r="P238" s="5"/>
    </row>
    <row r="239" spans="1:17" ht="15.6" x14ac:dyDescent="0.3">
      <c r="A239" s="24"/>
      <c r="B239" s="53" t="s">
        <v>86</v>
      </c>
      <c r="C239" s="89"/>
      <c r="D239" s="89"/>
      <c r="E239" s="89"/>
      <c r="F239" s="89"/>
      <c r="G239" s="89"/>
      <c r="H239" s="89"/>
      <c r="I239" s="89"/>
      <c r="J239" s="53">
        <v>0</v>
      </c>
      <c r="K239" s="90">
        <v>0</v>
      </c>
      <c r="L239" s="52">
        <v>0</v>
      </c>
      <c r="M239" s="125">
        <v>0</v>
      </c>
      <c r="N239" s="25"/>
      <c r="O239" s="25"/>
      <c r="P239" s="5"/>
    </row>
    <row r="240" spans="1:17" ht="15.6" x14ac:dyDescent="0.3">
      <c r="A240" s="24"/>
      <c r="B240" s="53" t="s">
        <v>87</v>
      </c>
      <c r="C240" s="89"/>
      <c r="D240" s="89"/>
      <c r="E240" s="89"/>
      <c r="F240" s="89"/>
      <c r="G240" s="89"/>
      <c r="H240" s="89"/>
      <c r="I240" s="89"/>
      <c r="J240" s="53">
        <v>0</v>
      </c>
      <c r="K240" s="90">
        <v>0</v>
      </c>
      <c r="L240" s="52">
        <v>0</v>
      </c>
      <c r="M240" s="125">
        <v>0</v>
      </c>
      <c r="N240" s="25"/>
      <c r="O240" s="25"/>
      <c r="P240" s="5"/>
    </row>
    <row r="241" spans="1:16" ht="15.6" x14ac:dyDescent="0.3">
      <c r="A241" s="24"/>
      <c r="B241" s="53" t="s">
        <v>145</v>
      </c>
      <c r="C241" s="89"/>
      <c r="D241" s="89"/>
      <c r="E241" s="89"/>
      <c r="F241" s="89"/>
      <c r="G241" s="89"/>
      <c r="H241" s="89"/>
      <c r="I241" s="89"/>
      <c r="J241" s="53">
        <v>0</v>
      </c>
      <c r="K241" s="90">
        <v>0</v>
      </c>
      <c r="L241" s="52">
        <v>0</v>
      </c>
      <c r="M241" s="125">
        <v>0</v>
      </c>
      <c r="N241" s="25"/>
      <c r="O241" s="25"/>
      <c r="P241" s="5"/>
    </row>
    <row r="242" spans="1:16" ht="15.6" x14ac:dyDescent="0.3">
      <c r="A242" s="24"/>
      <c r="B242" s="53" t="s">
        <v>146</v>
      </c>
      <c r="C242" s="89"/>
      <c r="D242" s="89"/>
      <c r="E242" s="89"/>
      <c r="F242" s="89"/>
      <c r="G242" s="89"/>
      <c r="H242" s="89"/>
      <c r="I242" s="89"/>
      <c r="J242" s="53">
        <v>0</v>
      </c>
      <c r="K242" s="90">
        <v>0</v>
      </c>
      <c r="L242" s="52">
        <v>0</v>
      </c>
      <c r="M242" s="125">
        <v>0</v>
      </c>
      <c r="N242" s="25"/>
      <c r="O242" s="25"/>
      <c r="P242" s="5"/>
    </row>
    <row r="243" spans="1:16" ht="15.6" x14ac:dyDescent="0.3">
      <c r="A243" s="24"/>
      <c r="B243" s="53" t="s">
        <v>147</v>
      </c>
      <c r="C243" s="89"/>
      <c r="D243" s="89"/>
      <c r="E243" s="89"/>
      <c r="F243" s="89"/>
      <c r="G243" s="89"/>
      <c r="H243" s="89"/>
      <c r="I243" s="89"/>
      <c r="J243" s="53">
        <v>0</v>
      </c>
      <c r="K243" s="90">
        <v>0</v>
      </c>
      <c r="L243" s="52">
        <v>0</v>
      </c>
      <c r="M243" s="125">
        <v>0</v>
      </c>
      <c r="N243" s="25"/>
      <c r="O243" s="25"/>
      <c r="P243" s="5"/>
    </row>
    <row r="244" spans="1:16" ht="15.6" x14ac:dyDescent="0.3">
      <c r="A244" s="24"/>
      <c r="B244" s="53" t="s">
        <v>227</v>
      </c>
      <c r="C244" s="89"/>
      <c r="D244" s="89"/>
      <c r="E244" s="89"/>
      <c r="F244" s="89"/>
      <c r="G244" s="89"/>
      <c r="H244" s="89"/>
      <c r="I244" s="89"/>
      <c r="J244" s="53">
        <v>0</v>
      </c>
      <c r="K244" s="90">
        <v>0</v>
      </c>
      <c r="L244" s="52">
        <v>0</v>
      </c>
      <c r="M244" s="125">
        <v>0</v>
      </c>
      <c r="N244" s="25"/>
      <c r="O244" s="25"/>
      <c r="P244" s="5"/>
    </row>
    <row r="245" spans="1:16" ht="15.6" x14ac:dyDescent="0.3">
      <c r="A245" s="24"/>
      <c r="B245" s="53" t="s">
        <v>228</v>
      </c>
      <c r="C245" s="89"/>
      <c r="D245" s="89"/>
      <c r="E245" s="89"/>
      <c r="F245" s="89"/>
      <c r="G245" s="89"/>
      <c r="H245" s="89"/>
      <c r="I245" s="89"/>
      <c r="J245" s="53">
        <v>0</v>
      </c>
      <c r="K245" s="90">
        <v>0</v>
      </c>
      <c r="L245" s="52">
        <v>0</v>
      </c>
      <c r="M245" s="125">
        <v>0</v>
      </c>
      <c r="N245" s="25"/>
      <c r="O245" s="25"/>
      <c r="P245" s="5"/>
    </row>
    <row r="246" spans="1:16" ht="15.6" x14ac:dyDescent="0.3">
      <c r="A246" s="24"/>
      <c r="B246" s="53" t="s">
        <v>229</v>
      </c>
      <c r="C246" s="89"/>
      <c r="D246" s="89"/>
      <c r="E246" s="89"/>
      <c r="F246" s="89"/>
      <c r="G246" s="89"/>
      <c r="H246" s="89"/>
      <c r="I246" s="89"/>
      <c r="J246" s="53">
        <v>0</v>
      </c>
      <c r="K246" s="90">
        <v>0</v>
      </c>
      <c r="L246" s="52">
        <v>0</v>
      </c>
      <c r="M246" s="125">
        <v>0</v>
      </c>
      <c r="N246" s="25"/>
      <c r="O246" s="25"/>
      <c r="P246" s="5"/>
    </row>
    <row r="247" spans="1:16" ht="15.6" x14ac:dyDescent="0.3">
      <c r="A247" s="24"/>
      <c r="B247" s="53" t="s">
        <v>230</v>
      </c>
      <c r="C247" s="89"/>
      <c r="D247" s="89"/>
      <c r="E247" s="89"/>
      <c r="F247" s="89"/>
      <c r="G247" s="89"/>
      <c r="H247" s="89"/>
      <c r="I247" s="89"/>
      <c r="J247" s="53">
        <v>0</v>
      </c>
      <c r="K247" s="90">
        <v>0</v>
      </c>
      <c r="L247" s="52">
        <v>0</v>
      </c>
      <c r="M247" s="125">
        <v>0</v>
      </c>
      <c r="N247" s="25"/>
      <c r="O247" s="25"/>
      <c r="P247" s="5"/>
    </row>
    <row r="248" spans="1:16" ht="15.6" x14ac:dyDescent="0.3">
      <c r="A248" s="24"/>
      <c r="B248" s="53" t="s">
        <v>231</v>
      </c>
      <c r="C248" s="89"/>
      <c r="D248" s="89"/>
      <c r="E248" s="89"/>
      <c r="F248" s="89"/>
      <c r="G248" s="89"/>
      <c r="H248" s="89"/>
      <c r="I248" s="89"/>
      <c r="J248" s="53">
        <v>0</v>
      </c>
      <c r="K248" s="90">
        <v>0</v>
      </c>
      <c r="L248" s="52">
        <v>0</v>
      </c>
      <c r="M248" s="125">
        <v>0</v>
      </c>
      <c r="N248" s="25"/>
      <c r="O248" s="25"/>
      <c r="P248" s="5"/>
    </row>
    <row r="249" spans="1:16" ht="15.6" x14ac:dyDescent="0.3">
      <c r="A249" s="24"/>
      <c r="B249" s="53" t="s">
        <v>232</v>
      </c>
      <c r="C249" s="89"/>
      <c r="D249" s="89"/>
      <c r="E249" s="89"/>
      <c r="F249" s="89"/>
      <c r="G249" s="89"/>
      <c r="H249" s="89"/>
      <c r="I249" s="89"/>
      <c r="J249" s="53">
        <v>0</v>
      </c>
      <c r="K249" s="90">
        <v>0</v>
      </c>
      <c r="L249" s="52">
        <v>0</v>
      </c>
      <c r="M249" s="125">
        <v>0</v>
      </c>
      <c r="N249" s="25"/>
      <c r="O249" s="25"/>
      <c r="P249" s="5"/>
    </row>
    <row r="250" spans="1:16" ht="15.6" x14ac:dyDescent="0.3">
      <c r="A250" s="24"/>
      <c r="B250" s="53" t="s">
        <v>233</v>
      </c>
      <c r="C250" s="89"/>
      <c r="D250" s="89"/>
      <c r="E250" s="89"/>
      <c r="F250" s="89"/>
      <c r="G250" s="89"/>
      <c r="H250" s="89"/>
      <c r="I250" s="89"/>
      <c r="J250" s="53">
        <v>0</v>
      </c>
      <c r="K250" s="90">
        <v>0</v>
      </c>
      <c r="L250" s="52">
        <v>0</v>
      </c>
      <c r="M250" s="125">
        <v>0</v>
      </c>
      <c r="N250" s="25"/>
      <c r="O250" s="25"/>
      <c r="P250" s="5"/>
    </row>
    <row r="251" spans="1:16" ht="15.6" x14ac:dyDescent="0.3">
      <c r="A251" s="24"/>
      <c r="B251" s="53"/>
      <c r="C251" s="89"/>
      <c r="D251" s="89"/>
      <c r="E251" s="89"/>
      <c r="F251" s="89"/>
      <c r="G251" s="89"/>
      <c r="H251" s="89"/>
      <c r="I251" s="89"/>
      <c r="J251" s="53"/>
      <c r="K251" s="90"/>
      <c r="L251" s="52"/>
      <c r="M251" s="125"/>
      <c r="N251" s="25"/>
      <c r="O251" s="25"/>
      <c r="P251" s="5"/>
    </row>
    <row r="252" spans="1:16" ht="15.6" x14ac:dyDescent="0.3">
      <c r="A252" s="24"/>
      <c r="B252" s="25"/>
      <c r="C252" s="25"/>
      <c r="D252" s="91"/>
      <c r="E252" s="91"/>
      <c r="F252" s="91"/>
      <c r="G252" s="91"/>
      <c r="H252" s="91"/>
      <c r="I252" s="91"/>
      <c r="J252" s="34">
        <f>SUM(J238:J251)</f>
        <v>0</v>
      </c>
      <c r="K252" s="125">
        <f>SUM(K238:K251)</f>
        <v>0</v>
      </c>
      <c r="L252" s="52">
        <f>SUM(L238:L251)</f>
        <v>0</v>
      </c>
      <c r="M252" s="125">
        <f>SUM(M238:M251)</f>
        <v>0</v>
      </c>
      <c r="N252" s="25"/>
      <c r="O252" s="25"/>
      <c r="P252" s="5"/>
    </row>
    <row r="253" spans="1:16" ht="15.6" x14ac:dyDescent="0.3">
      <c r="A253" s="24"/>
      <c r="B253" s="25"/>
      <c r="C253" s="25"/>
      <c r="D253" s="91"/>
      <c r="E253" s="91"/>
      <c r="F253" s="91"/>
      <c r="G253" s="91"/>
      <c r="H253" s="91"/>
      <c r="I253" s="91"/>
      <c r="J253" s="34"/>
      <c r="K253" s="125"/>
      <c r="L253" s="52"/>
      <c r="M253" s="125"/>
      <c r="N253" s="25"/>
      <c r="O253" s="25"/>
      <c r="P253" s="5"/>
    </row>
    <row r="254" spans="1:16" ht="15.6" x14ac:dyDescent="0.3">
      <c r="A254" s="133"/>
      <c r="B254" s="14" t="s">
        <v>150</v>
      </c>
      <c r="C254" s="131"/>
      <c r="D254" s="137"/>
      <c r="E254" s="137"/>
      <c r="F254" s="137"/>
      <c r="G254" s="137"/>
      <c r="H254" s="137"/>
      <c r="I254" s="137"/>
      <c r="J254" s="80" t="s">
        <v>99</v>
      </c>
      <c r="K254" s="17" t="s">
        <v>100</v>
      </c>
      <c r="L254" s="80" t="s">
        <v>108</v>
      </c>
      <c r="M254" s="17" t="s">
        <v>100</v>
      </c>
      <c r="N254" s="131"/>
      <c r="O254" s="132"/>
      <c r="P254" s="5"/>
    </row>
    <row r="255" spans="1:16" ht="15.6" x14ac:dyDescent="0.3">
      <c r="A255" s="24"/>
      <c r="B255" s="53" t="s">
        <v>85</v>
      </c>
      <c r="C255" s="25"/>
      <c r="D255" s="91"/>
      <c r="E255" s="91"/>
      <c r="F255" s="91"/>
      <c r="G255" s="91"/>
      <c r="H255" s="91"/>
      <c r="I255" s="91"/>
      <c r="J255" s="53">
        <v>0</v>
      </c>
      <c r="K255" s="90">
        <f>J255/$J$269</f>
        <v>0</v>
      </c>
      <c r="L255" s="52">
        <v>0</v>
      </c>
      <c r="M255" s="125">
        <f>L255/$L$269</f>
        <v>0</v>
      </c>
      <c r="N255" s="25"/>
      <c r="O255" s="25"/>
      <c r="P255" s="5"/>
    </row>
    <row r="256" spans="1:16" ht="15.6" x14ac:dyDescent="0.3">
      <c r="A256" s="24"/>
      <c r="B256" s="53" t="s">
        <v>86</v>
      </c>
      <c r="C256" s="25"/>
      <c r="D256" s="91"/>
      <c r="E256" s="91"/>
      <c r="F256" s="91"/>
      <c r="G256" s="91"/>
      <c r="H256" s="91"/>
      <c r="I256" s="91"/>
      <c r="J256" s="53">
        <v>0</v>
      </c>
      <c r="K256" s="90">
        <f t="shared" ref="K256:K266" si="3">J256/$J$269</f>
        <v>0</v>
      </c>
      <c r="L256" s="52">
        <v>0</v>
      </c>
      <c r="M256" s="125">
        <f t="shared" ref="M256:M267" si="4">L256/$L$269</f>
        <v>0</v>
      </c>
      <c r="N256" s="25"/>
      <c r="O256" s="25"/>
      <c r="P256" s="5"/>
    </row>
    <row r="257" spans="1:16" ht="15.6" x14ac:dyDescent="0.3">
      <c r="A257" s="24"/>
      <c r="B257" s="53" t="s">
        <v>87</v>
      </c>
      <c r="C257" s="25"/>
      <c r="D257" s="91"/>
      <c r="E257" s="91"/>
      <c r="F257" s="91"/>
      <c r="G257" s="91"/>
      <c r="H257" s="91"/>
      <c r="I257" s="91"/>
      <c r="J257" s="53">
        <v>0</v>
      </c>
      <c r="K257" s="90">
        <f t="shared" si="3"/>
        <v>0</v>
      </c>
      <c r="L257" s="52">
        <v>0</v>
      </c>
      <c r="M257" s="125">
        <f t="shared" si="4"/>
        <v>0</v>
      </c>
      <c r="N257" s="25"/>
      <c r="O257" s="25"/>
      <c r="P257" s="5"/>
    </row>
    <row r="258" spans="1:16" ht="15.6" x14ac:dyDescent="0.3">
      <c r="A258" s="24"/>
      <c r="B258" s="53" t="s">
        <v>145</v>
      </c>
      <c r="C258" s="25"/>
      <c r="D258" s="91"/>
      <c r="E258" s="91"/>
      <c r="F258" s="91"/>
      <c r="G258" s="91"/>
      <c r="H258" s="91"/>
      <c r="I258" s="91"/>
      <c r="J258" s="53">
        <v>0</v>
      </c>
      <c r="K258" s="90">
        <f t="shared" si="3"/>
        <v>0</v>
      </c>
      <c r="L258" s="52">
        <v>0</v>
      </c>
      <c r="M258" s="125">
        <f t="shared" si="4"/>
        <v>0</v>
      </c>
      <c r="N258" s="25"/>
      <c r="O258" s="25"/>
      <c r="P258" s="5"/>
    </row>
    <row r="259" spans="1:16" ht="15.6" x14ac:dyDescent="0.3">
      <c r="A259" s="24"/>
      <c r="B259" s="53" t="s">
        <v>146</v>
      </c>
      <c r="C259" s="25"/>
      <c r="D259" s="91"/>
      <c r="E259" s="91"/>
      <c r="F259" s="91"/>
      <c r="G259" s="91"/>
      <c r="H259" s="91"/>
      <c r="I259" s="91"/>
      <c r="J259" s="53">
        <v>0</v>
      </c>
      <c r="K259" s="90">
        <f t="shared" si="3"/>
        <v>0</v>
      </c>
      <c r="L259" s="52">
        <v>0</v>
      </c>
      <c r="M259" s="125">
        <f t="shared" si="4"/>
        <v>0</v>
      </c>
      <c r="N259" s="25"/>
      <c r="O259" s="25"/>
      <c r="P259" s="5"/>
    </row>
    <row r="260" spans="1:16" ht="15.6" x14ac:dyDescent="0.3">
      <c r="A260" s="24"/>
      <c r="B260" s="53" t="s">
        <v>147</v>
      </c>
      <c r="C260" s="25"/>
      <c r="D260" s="91"/>
      <c r="E260" s="91"/>
      <c r="F260" s="91"/>
      <c r="G260" s="91"/>
      <c r="H260" s="91"/>
      <c r="I260" s="91"/>
      <c r="J260" s="53">
        <v>0</v>
      </c>
      <c r="K260" s="90">
        <f t="shared" si="3"/>
        <v>0</v>
      </c>
      <c r="L260" s="52">
        <v>0</v>
      </c>
      <c r="M260" s="125">
        <f t="shared" si="4"/>
        <v>0</v>
      </c>
      <c r="N260" s="25"/>
      <c r="O260" s="25"/>
      <c r="P260" s="5"/>
    </row>
    <row r="261" spans="1:16" ht="15.6" x14ac:dyDescent="0.3">
      <c r="A261" s="24"/>
      <c r="B261" s="53" t="s">
        <v>227</v>
      </c>
      <c r="C261" s="25"/>
      <c r="D261" s="91"/>
      <c r="E261" s="91"/>
      <c r="F261" s="91"/>
      <c r="G261" s="91"/>
      <c r="H261" s="91"/>
      <c r="I261" s="91"/>
      <c r="J261" s="53">
        <v>0</v>
      </c>
      <c r="K261" s="90">
        <f t="shared" si="3"/>
        <v>0</v>
      </c>
      <c r="L261" s="52">
        <v>0</v>
      </c>
      <c r="M261" s="125">
        <f t="shared" si="4"/>
        <v>0</v>
      </c>
      <c r="N261" s="25"/>
      <c r="O261" s="25"/>
      <c r="P261" s="5"/>
    </row>
    <row r="262" spans="1:16" ht="15.6" x14ac:dyDescent="0.3">
      <c r="A262" s="24"/>
      <c r="B262" s="53" t="s">
        <v>228</v>
      </c>
      <c r="C262" s="25"/>
      <c r="D262" s="91"/>
      <c r="E262" s="91"/>
      <c r="F262" s="91"/>
      <c r="G262" s="91"/>
      <c r="H262" s="91"/>
      <c r="I262" s="91"/>
      <c r="J262" s="53">
        <v>0</v>
      </c>
      <c r="K262" s="90">
        <f t="shared" si="3"/>
        <v>0</v>
      </c>
      <c r="L262" s="52">
        <v>0</v>
      </c>
      <c r="M262" s="125">
        <f t="shared" si="4"/>
        <v>0</v>
      </c>
      <c r="N262" s="25"/>
      <c r="O262" s="25"/>
      <c r="P262" s="5"/>
    </row>
    <row r="263" spans="1:16" ht="15.6" x14ac:dyDescent="0.3">
      <c r="A263" s="24"/>
      <c r="B263" s="53" t="s">
        <v>229</v>
      </c>
      <c r="C263" s="25"/>
      <c r="D263" s="91"/>
      <c r="E263" s="91"/>
      <c r="F263" s="91"/>
      <c r="G263" s="91"/>
      <c r="H263" s="91"/>
      <c r="I263" s="91"/>
      <c r="J263" s="53">
        <v>1</v>
      </c>
      <c r="K263" s="90">
        <f t="shared" si="3"/>
        <v>1</v>
      </c>
      <c r="L263" s="52">
        <v>141</v>
      </c>
      <c r="M263" s="125">
        <f t="shared" si="4"/>
        <v>1</v>
      </c>
      <c r="N263" s="25"/>
      <c r="O263" s="25"/>
      <c r="P263" s="5"/>
    </row>
    <row r="264" spans="1:16" ht="15.6" x14ac:dyDescent="0.3">
      <c r="A264" s="24"/>
      <c r="B264" s="53" t="s">
        <v>230</v>
      </c>
      <c r="C264" s="25"/>
      <c r="D264" s="91"/>
      <c r="E264" s="91"/>
      <c r="F264" s="91"/>
      <c r="G264" s="91"/>
      <c r="H264" s="91"/>
      <c r="I264" s="91"/>
      <c r="J264" s="53">
        <v>0</v>
      </c>
      <c r="K264" s="90">
        <f t="shared" si="3"/>
        <v>0</v>
      </c>
      <c r="L264" s="52">
        <v>0</v>
      </c>
      <c r="M264" s="125">
        <f t="shared" si="4"/>
        <v>0</v>
      </c>
      <c r="N264" s="25"/>
      <c r="O264" s="25"/>
      <c r="P264" s="5"/>
    </row>
    <row r="265" spans="1:16" ht="15.6" x14ac:dyDescent="0.3">
      <c r="A265" s="24"/>
      <c r="B265" s="53" t="s">
        <v>231</v>
      </c>
      <c r="C265" s="25"/>
      <c r="D265" s="91"/>
      <c r="E265" s="91"/>
      <c r="F265" s="91"/>
      <c r="G265" s="91"/>
      <c r="H265" s="91"/>
      <c r="I265" s="91"/>
      <c r="J265" s="53">
        <v>0</v>
      </c>
      <c r="K265" s="90">
        <f t="shared" si="3"/>
        <v>0</v>
      </c>
      <c r="L265" s="52">
        <v>0</v>
      </c>
      <c r="M265" s="125">
        <f t="shared" si="4"/>
        <v>0</v>
      </c>
      <c r="N265" s="25"/>
      <c r="O265" s="25"/>
      <c r="P265" s="5"/>
    </row>
    <row r="266" spans="1:16" ht="15.6" x14ac:dyDescent="0.3">
      <c r="A266" s="24"/>
      <c r="B266" s="53" t="s">
        <v>232</v>
      </c>
      <c r="C266" s="25"/>
      <c r="D266" s="91"/>
      <c r="E266" s="91"/>
      <c r="F266" s="91"/>
      <c r="G266" s="91"/>
      <c r="H266" s="91"/>
      <c r="I266" s="91"/>
      <c r="J266" s="53">
        <v>0</v>
      </c>
      <c r="K266" s="90">
        <f t="shared" si="3"/>
        <v>0</v>
      </c>
      <c r="L266" s="52">
        <v>0</v>
      </c>
      <c r="M266" s="125">
        <f t="shared" si="4"/>
        <v>0</v>
      </c>
      <c r="N266" s="25"/>
      <c r="O266" s="25"/>
      <c r="P266" s="5"/>
    </row>
    <row r="267" spans="1:16" ht="15.6" x14ac:dyDescent="0.3">
      <c r="A267" s="24"/>
      <c r="B267" s="53" t="s">
        <v>233</v>
      </c>
      <c r="C267" s="25"/>
      <c r="D267" s="91"/>
      <c r="E267" s="91"/>
      <c r="F267" s="91"/>
      <c r="G267" s="91"/>
      <c r="H267" s="91"/>
      <c r="I267" s="91"/>
      <c r="J267" s="53">
        <v>0</v>
      </c>
      <c r="K267" s="90">
        <v>0</v>
      </c>
      <c r="L267" s="52">
        <v>0</v>
      </c>
      <c r="M267" s="125">
        <f t="shared" si="4"/>
        <v>0</v>
      </c>
      <c r="N267" s="25"/>
      <c r="O267" s="25"/>
      <c r="P267" s="5"/>
    </row>
    <row r="268" spans="1:16" ht="15.6" x14ac:dyDescent="0.3">
      <c r="A268" s="24"/>
      <c r="B268" s="53"/>
      <c r="C268" s="25"/>
      <c r="D268" s="91"/>
      <c r="E268" s="91"/>
      <c r="F268" s="91"/>
      <c r="G268" s="91"/>
      <c r="H268" s="91"/>
      <c r="I268" s="91"/>
      <c r="J268" s="53"/>
      <c r="K268" s="90"/>
      <c r="L268" s="52"/>
      <c r="M268" s="125"/>
      <c r="N268" s="25"/>
      <c r="O268" s="25"/>
      <c r="P268" s="5"/>
    </row>
    <row r="269" spans="1:16" ht="15.6" x14ac:dyDescent="0.3">
      <c r="A269" s="24"/>
      <c r="B269" s="25" t="s">
        <v>114</v>
      </c>
      <c r="C269" s="25"/>
      <c r="D269" s="91"/>
      <c r="E269" s="91"/>
      <c r="F269" s="91"/>
      <c r="G269" s="91"/>
      <c r="H269" s="91"/>
      <c r="I269" s="91"/>
      <c r="J269" s="34">
        <f>SUM(J255:J267)</f>
        <v>1</v>
      </c>
      <c r="K269" s="90">
        <f>SUM(K255:K267)</f>
        <v>1</v>
      </c>
      <c r="L269" s="52">
        <f>SUM(L255:L267)</f>
        <v>141</v>
      </c>
      <c r="M269" s="125">
        <f>SUM(M255:M267)</f>
        <v>1</v>
      </c>
      <c r="N269" s="25"/>
      <c r="O269" s="25"/>
      <c r="P269" s="5"/>
    </row>
    <row r="270" spans="1:16" ht="15.6" x14ac:dyDescent="0.3">
      <c r="A270" s="24"/>
      <c r="B270" s="25"/>
      <c r="C270" s="25"/>
      <c r="D270" s="91"/>
      <c r="E270" s="91"/>
      <c r="F270" s="91"/>
      <c r="G270" s="91"/>
      <c r="H270" s="91"/>
      <c r="I270" s="91"/>
      <c r="J270" s="34"/>
      <c r="K270" s="125"/>
      <c r="L270" s="52"/>
      <c r="M270" s="125"/>
      <c r="N270" s="25"/>
      <c r="O270" s="25"/>
      <c r="P270" s="5"/>
    </row>
    <row r="271" spans="1:16" ht="15.6" x14ac:dyDescent="0.3">
      <c r="A271" s="24"/>
      <c r="B271" s="134" t="s">
        <v>151</v>
      </c>
      <c r="C271" s="25"/>
      <c r="D271" s="91"/>
      <c r="E271" s="91"/>
      <c r="F271" s="91"/>
      <c r="G271" s="91"/>
      <c r="H271" s="91"/>
      <c r="I271" s="91"/>
      <c r="J271" s="149">
        <f>J269+J252+J235</f>
        <v>5163</v>
      </c>
      <c r="K271" s="135"/>
      <c r="L271" s="136">
        <f>+L269+L252+L235</f>
        <v>236185</v>
      </c>
      <c r="M271" s="135"/>
      <c r="N271" s="25"/>
      <c r="O271" s="25"/>
      <c r="P271" s="5"/>
    </row>
    <row r="272" spans="1:16" ht="15.6" x14ac:dyDescent="0.3">
      <c r="A272" s="24"/>
      <c r="B272" s="25"/>
      <c r="C272" s="25"/>
      <c r="D272" s="91"/>
      <c r="E272" s="91"/>
      <c r="F272" s="91"/>
      <c r="G272" s="91"/>
      <c r="H272" s="91"/>
      <c r="I272" s="91"/>
      <c r="J272" s="91"/>
      <c r="K272" s="91"/>
      <c r="L272" s="52"/>
      <c r="M272" s="91"/>
      <c r="N272" s="25"/>
      <c r="O272" s="25"/>
      <c r="P272" s="5"/>
    </row>
    <row r="273" spans="1:16" ht="15.6" x14ac:dyDescent="0.3">
      <c r="A273" s="6"/>
      <c r="B273" s="8"/>
      <c r="C273" s="8"/>
      <c r="D273" s="92"/>
      <c r="E273" s="92"/>
      <c r="F273" s="92"/>
      <c r="G273" s="92"/>
      <c r="H273" s="92"/>
      <c r="I273" s="92"/>
      <c r="J273" s="92"/>
      <c r="K273" s="92"/>
      <c r="L273" s="93"/>
      <c r="M273" s="92"/>
      <c r="N273" s="8"/>
      <c r="O273" s="8"/>
      <c r="P273" s="5"/>
    </row>
    <row r="274" spans="1:16" ht="15.6" x14ac:dyDescent="0.3">
      <c r="A274" s="94"/>
      <c r="B274" s="14" t="s">
        <v>88</v>
      </c>
      <c r="C274" s="15"/>
      <c r="D274" s="17" t="s">
        <v>94</v>
      </c>
      <c r="E274" s="15"/>
      <c r="F274" s="14" t="s">
        <v>96</v>
      </c>
      <c r="G274" s="12"/>
      <c r="H274" s="12"/>
      <c r="I274" s="12"/>
      <c r="J274" s="17"/>
      <c r="K274" s="15"/>
      <c r="L274" s="14"/>
      <c r="M274" s="12"/>
      <c r="N274" s="12"/>
      <c r="O274" s="12"/>
      <c r="P274" s="5"/>
    </row>
    <row r="275" spans="1:16" ht="15.6" x14ac:dyDescent="0.3">
      <c r="A275" s="94"/>
      <c r="B275" s="13" t="s">
        <v>89</v>
      </c>
      <c r="C275" s="13"/>
      <c r="D275" s="123" t="s">
        <v>138</v>
      </c>
      <c r="E275" s="13"/>
      <c r="F275" s="13" t="s">
        <v>141</v>
      </c>
      <c r="G275" s="174"/>
      <c r="H275" s="174"/>
      <c r="I275" s="12"/>
      <c r="J275" s="8"/>
      <c r="K275" s="8"/>
      <c r="L275" s="8"/>
      <c r="M275" s="12"/>
      <c r="N275" s="12"/>
      <c r="O275" s="12"/>
      <c r="P275" s="5"/>
    </row>
    <row r="276" spans="1:16" ht="15.6" x14ac:dyDescent="0.3">
      <c r="A276" s="94"/>
      <c r="B276" s="13" t="s">
        <v>239</v>
      </c>
      <c r="C276" s="13"/>
      <c r="D276" s="123" t="s">
        <v>240</v>
      </c>
      <c r="E276" s="123"/>
      <c r="F276" s="13" t="s">
        <v>241</v>
      </c>
      <c r="G276" s="13"/>
      <c r="H276" s="174"/>
      <c r="I276" s="12"/>
      <c r="J276" s="123"/>
      <c r="K276" s="13"/>
      <c r="L276" s="13"/>
      <c r="M276" s="12"/>
      <c r="N276" s="12"/>
      <c r="O276" s="12"/>
      <c r="P276" s="5"/>
    </row>
    <row r="277" spans="1:16" ht="15.6" x14ac:dyDescent="0.3">
      <c r="A277" s="94"/>
      <c r="B277" s="13" t="s">
        <v>90</v>
      </c>
      <c r="C277" s="13"/>
      <c r="D277" s="123" t="s">
        <v>137</v>
      </c>
      <c r="E277" s="13"/>
      <c r="F277" s="13" t="s">
        <v>142</v>
      </c>
      <c r="G277" s="174"/>
      <c r="H277" s="174"/>
      <c r="I277" s="12"/>
      <c r="J277" s="123"/>
      <c r="K277" s="13"/>
      <c r="L277" s="13"/>
      <c r="M277" s="12"/>
      <c r="N277" s="12"/>
      <c r="O277" s="12"/>
      <c r="P277" s="5"/>
    </row>
    <row r="278" spans="1:16" ht="15.6" x14ac:dyDescent="0.3">
      <c r="A278" s="94"/>
      <c r="B278" s="13"/>
      <c r="C278" s="13"/>
      <c r="D278" s="12"/>
      <c r="E278" s="12"/>
      <c r="F278" s="12"/>
      <c r="G278" s="12"/>
      <c r="H278" s="12"/>
      <c r="I278" s="12"/>
      <c r="J278" s="12"/>
      <c r="K278" s="12"/>
      <c r="L278" s="12"/>
      <c r="M278" s="12"/>
      <c r="N278" s="12"/>
      <c r="O278" s="12"/>
      <c r="P278" s="5"/>
    </row>
    <row r="279" spans="1:16" ht="15.6" x14ac:dyDescent="0.3">
      <c r="A279" s="94"/>
      <c r="B279" s="13"/>
      <c r="C279" s="13"/>
      <c r="D279" s="12"/>
      <c r="E279" s="12"/>
      <c r="F279" s="12"/>
      <c r="G279" s="12"/>
      <c r="H279" s="12"/>
      <c r="I279" s="12"/>
      <c r="J279" s="12"/>
      <c r="K279" s="12"/>
      <c r="L279" s="12"/>
      <c r="M279" s="12"/>
      <c r="N279" s="12"/>
      <c r="O279" s="12"/>
      <c r="P279" s="5"/>
    </row>
    <row r="280" spans="1:16" ht="18" thickBot="1" x14ac:dyDescent="0.35">
      <c r="A280" s="94"/>
      <c r="B280" s="48" t="str">
        <f>B182</f>
        <v>FF7 INVESTOR REPORT QUARTER ENDING MAY 2007</v>
      </c>
      <c r="C280" s="13"/>
      <c r="D280" s="12"/>
      <c r="E280" s="12"/>
      <c r="F280" s="12"/>
      <c r="G280" s="12"/>
      <c r="H280" s="12"/>
      <c r="I280" s="12"/>
      <c r="J280" s="12"/>
      <c r="K280" s="12"/>
      <c r="L280" s="12"/>
      <c r="M280" s="12"/>
      <c r="N280" s="12"/>
      <c r="O280" s="12"/>
      <c r="P280" s="5"/>
    </row>
    <row r="281" spans="1:16" x14ac:dyDescent="0.25">
      <c r="A281" s="95"/>
      <c r="B281" s="95"/>
      <c r="C281" s="95"/>
      <c r="D281" s="95"/>
      <c r="E281" s="95"/>
      <c r="F281" s="95"/>
      <c r="G281" s="95"/>
      <c r="H281" s="95"/>
      <c r="I281" s="95"/>
      <c r="J281" s="95"/>
      <c r="K281" s="95"/>
      <c r="L281" s="95"/>
      <c r="M281" s="95"/>
      <c r="N281" s="95"/>
      <c r="O281" s="95"/>
    </row>
  </sheetData>
  <phoneticPr fontId="0" type="noConversion"/>
  <hyperlinks>
    <hyperlink ref="H218" r:id="rId1"/>
  </hyperlinks>
  <printOptions horizontalCentered="1" verticalCentered="1"/>
  <pageMargins left="0.19685039370078741" right="0.19685039370078741" top="0.27559055118110237" bottom="0.27559055118110237" header="0" footer="0"/>
  <pageSetup scale="36" orientation="landscape" r:id="rId2"/>
  <headerFooter alignWithMargins="0"/>
  <rowBreaks count="3" manualBreakCount="3">
    <brk id="52" max="14" man="1"/>
    <brk id="115" max="14" man="1"/>
    <brk id="182" max="14"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sheetPr>
  <dimension ref="A1:IV283"/>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5.0999999999999997E-2</v>
      </c>
      <c r="L16" s="17" t="s">
        <v>133</v>
      </c>
      <c r="M16" s="129">
        <v>0.94899999999999995</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40078</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74"/>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74"/>
      <c r="N22" s="174"/>
      <c r="O22" s="8"/>
      <c r="P22" s="5"/>
    </row>
    <row r="23" spans="1:16" ht="15.6" x14ac:dyDescent="0.3">
      <c r="A23" s="24"/>
      <c r="B23" s="25" t="s">
        <v>7</v>
      </c>
      <c r="C23" s="26"/>
      <c r="D23" s="26" t="s">
        <v>134</v>
      </c>
      <c r="E23" s="26"/>
      <c r="F23" s="26" t="s">
        <v>152</v>
      </c>
      <c r="G23" s="26"/>
      <c r="H23" s="26" t="s">
        <v>135</v>
      </c>
      <c r="I23" s="26"/>
      <c r="J23" s="26"/>
      <c r="K23" s="26"/>
      <c r="L23" s="26"/>
      <c r="M23" s="175"/>
      <c r="N23" s="175"/>
      <c r="O23" s="25"/>
      <c r="P23" s="5"/>
    </row>
    <row r="24" spans="1:16" ht="15.6" x14ac:dyDescent="0.3">
      <c r="A24" s="28"/>
      <c r="B24" s="124" t="s">
        <v>162</v>
      </c>
      <c r="C24" s="118"/>
      <c r="D24" s="26" t="s">
        <v>134</v>
      </c>
      <c r="E24" s="26"/>
      <c r="F24" s="26" t="s">
        <v>152</v>
      </c>
      <c r="G24" s="26"/>
      <c r="H24" s="26" t="s">
        <v>135</v>
      </c>
      <c r="I24" s="26"/>
      <c r="J24" s="26"/>
      <c r="K24" s="118"/>
      <c r="L24" s="26"/>
      <c r="M24" s="175"/>
      <c r="N24" s="175"/>
      <c r="O24" s="25"/>
      <c r="P24" s="5"/>
    </row>
    <row r="25" spans="1:16" ht="15.6" x14ac:dyDescent="0.3">
      <c r="A25" s="24"/>
      <c r="B25" s="29" t="s">
        <v>163</v>
      </c>
      <c r="C25" s="26"/>
      <c r="D25" s="118" t="s">
        <v>134</v>
      </c>
      <c r="E25" s="118"/>
      <c r="F25" s="118" t="s">
        <v>152</v>
      </c>
      <c r="G25" s="118"/>
      <c r="H25" s="118" t="s">
        <v>135</v>
      </c>
      <c r="I25" s="118"/>
      <c r="J25" s="118"/>
      <c r="K25" s="26"/>
      <c r="L25" s="30"/>
      <c r="M25" s="175"/>
      <c r="N25" s="175"/>
      <c r="O25" s="25"/>
      <c r="P25" s="5"/>
    </row>
    <row r="26" spans="1:16" ht="15.6" x14ac:dyDescent="0.3">
      <c r="A26" s="24"/>
      <c r="B26" s="143" t="s">
        <v>164</v>
      </c>
      <c r="C26" s="26"/>
      <c r="D26" s="118" t="s">
        <v>134</v>
      </c>
      <c r="E26" s="118"/>
      <c r="F26" s="118" t="s">
        <v>152</v>
      </c>
      <c r="G26" s="118"/>
      <c r="H26" s="118" t="s">
        <v>135</v>
      </c>
      <c r="I26" s="118"/>
      <c r="J26" s="118"/>
      <c r="K26" s="26"/>
      <c r="L26" s="30"/>
      <c r="M26" s="175"/>
      <c r="N26" s="175"/>
      <c r="O26" s="25"/>
      <c r="P26" s="5"/>
    </row>
    <row r="27" spans="1:16" ht="15.6" x14ac:dyDescent="0.3">
      <c r="A27" s="24"/>
      <c r="B27" s="25" t="s">
        <v>8</v>
      </c>
      <c r="C27" s="32"/>
      <c r="D27" s="26" t="s">
        <v>218</v>
      </c>
      <c r="E27" s="26"/>
      <c r="F27" s="26" t="s">
        <v>219</v>
      </c>
      <c r="G27" s="26"/>
      <c r="H27" s="26" t="s">
        <v>220</v>
      </c>
      <c r="I27" s="26"/>
      <c r="J27" s="26"/>
      <c r="K27" s="31"/>
      <c r="L27" s="31"/>
      <c r="M27" s="176"/>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129392.1214</v>
      </c>
      <c r="E29" s="31"/>
      <c r="F29" s="31">
        <f>F28*F32</f>
        <v>4050</v>
      </c>
      <c r="G29" s="31"/>
      <c r="H29" s="31">
        <f>H28*H32</f>
        <v>4050</v>
      </c>
      <c r="I29" s="31"/>
      <c r="J29" s="119"/>
      <c r="K29" s="31"/>
      <c r="L29" s="31"/>
      <c r="M29" s="176"/>
      <c r="N29" s="31">
        <f>SUM(D29:H29)</f>
        <v>137492.1214</v>
      </c>
      <c r="O29" s="34"/>
      <c r="P29" s="5"/>
    </row>
    <row r="30" spans="1:16" ht="15.6" x14ac:dyDescent="0.3">
      <c r="A30" s="24"/>
      <c r="B30" s="29" t="s">
        <v>130</v>
      </c>
      <c r="C30" s="32"/>
      <c r="D30" s="35">
        <f>D28*D31</f>
        <v>123331.95360000001</v>
      </c>
      <c r="E30" s="35"/>
      <c r="F30" s="35">
        <f>F28*F31</f>
        <v>4050</v>
      </c>
      <c r="G30" s="35"/>
      <c r="H30" s="35">
        <f>H28*H31</f>
        <v>4050</v>
      </c>
      <c r="I30" s="35"/>
      <c r="J30" s="120"/>
      <c r="K30" s="31"/>
      <c r="L30" s="31"/>
      <c r="M30" s="176"/>
      <c r="N30" s="145">
        <f>SUM(D30:I30)</f>
        <v>131431.95360000001</v>
      </c>
      <c r="O30" s="34"/>
      <c r="P30" s="5"/>
    </row>
    <row r="31" spans="1:16" ht="15.6" x14ac:dyDescent="0.3">
      <c r="A31" s="24"/>
      <c r="B31" s="117" t="s">
        <v>126</v>
      </c>
      <c r="C31" s="25"/>
      <c r="D31" s="171">
        <v>0.47344320000000001</v>
      </c>
      <c r="E31" s="171"/>
      <c r="F31" s="171">
        <v>1</v>
      </c>
      <c r="G31" s="171"/>
      <c r="H31" s="171">
        <v>1</v>
      </c>
      <c r="I31" s="128"/>
      <c r="J31" s="128"/>
      <c r="K31" s="30"/>
      <c r="L31" s="30"/>
      <c r="M31" s="175"/>
      <c r="N31" s="175"/>
      <c r="O31" s="25"/>
      <c r="P31" s="5"/>
    </row>
    <row r="32" spans="1:16" ht="15.6" x14ac:dyDescent="0.3">
      <c r="A32" s="24"/>
      <c r="B32" s="117" t="s">
        <v>127</v>
      </c>
      <c r="C32" s="25"/>
      <c r="D32" s="171">
        <v>0.4967068</v>
      </c>
      <c r="E32" s="171"/>
      <c r="F32" s="171">
        <v>1</v>
      </c>
      <c r="G32" s="171"/>
      <c r="H32" s="171">
        <v>1</v>
      </c>
      <c r="I32" s="128"/>
      <c r="J32" s="128"/>
      <c r="K32" s="39"/>
      <c r="L32" s="38"/>
      <c r="M32" s="175"/>
      <c r="N32" s="39"/>
      <c r="O32" s="25"/>
      <c r="P32" s="5"/>
    </row>
    <row r="33" spans="1:17" ht="15.6" x14ac:dyDescent="0.3">
      <c r="A33" s="24"/>
      <c r="B33" s="25" t="s">
        <v>9</v>
      </c>
      <c r="C33" s="25"/>
      <c r="D33" s="30" t="s">
        <v>192</v>
      </c>
      <c r="E33" s="30"/>
      <c r="F33" s="30" t="s">
        <v>194</v>
      </c>
      <c r="G33" s="30"/>
      <c r="H33" s="30" t="s">
        <v>196</v>
      </c>
      <c r="I33" s="30"/>
      <c r="J33" s="30"/>
      <c r="K33" s="39"/>
      <c r="L33" s="38"/>
      <c r="M33" s="175"/>
      <c r="N33" s="175"/>
      <c r="O33" s="25"/>
      <c r="P33" s="5"/>
    </row>
    <row r="34" spans="1:17" ht="15.6" x14ac:dyDescent="0.3">
      <c r="A34" s="24"/>
      <c r="B34" s="25" t="s">
        <v>10</v>
      </c>
      <c r="C34" s="25"/>
      <c r="D34" s="38">
        <v>1.37188E-2</v>
      </c>
      <c r="E34" s="39"/>
      <c r="F34" s="38">
        <v>1.43188E-2</v>
      </c>
      <c r="G34" s="39"/>
      <c r="H34" s="38">
        <v>1.53188E-2</v>
      </c>
      <c r="I34" s="39"/>
      <c r="J34" s="38"/>
      <c r="K34" s="39"/>
      <c r="L34" s="38"/>
      <c r="M34" s="175"/>
      <c r="N34" s="39">
        <f>SUMPRODUCT(D34:H34,D29:H29)/N29</f>
        <v>1.3783603713182071E-2</v>
      </c>
      <c r="O34" s="25"/>
      <c r="P34" s="5"/>
    </row>
    <row r="35" spans="1:17" ht="15.6" x14ac:dyDescent="0.3">
      <c r="A35" s="24"/>
      <c r="B35" s="25" t="s">
        <v>11</v>
      </c>
      <c r="C35" s="25"/>
      <c r="D35" s="38">
        <v>1.9581299999999999E-2</v>
      </c>
      <c r="E35" s="39"/>
      <c r="F35" s="38">
        <v>2.0181299999999999E-2</v>
      </c>
      <c r="G35" s="39"/>
      <c r="H35" s="38">
        <v>2.11813E-2</v>
      </c>
      <c r="I35" s="38"/>
      <c r="J35" s="38"/>
      <c r="K35" s="39"/>
      <c r="L35" s="38"/>
      <c r="M35" s="175"/>
      <c r="N35" s="39" t="s">
        <v>165</v>
      </c>
      <c r="O35" s="25"/>
      <c r="P35" s="5"/>
    </row>
    <row r="36" spans="1:17" ht="15.6" x14ac:dyDescent="0.3">
      <c r="A36" s="24"/>
      <c r="B36" s="25" t="s">
        <v>12</v>
      </c>
      <c r="C36" s="25"/>
      <c r="D36" s="105">
        <v>40617</v>
      </c>
      <c r="E36" s="105"/>
      <c r="F36" s="105">
        <v>40617</v>
      </c>
      <c r="G36" s="105"/>
      <c r="H36" s="105">
        <v>40617</v>
      </c>
      <c r="I36" s="105"/>
      <c r="J36" s="105"/>
      <c r="K36" s="30"/>
      <c r="L36" s="30"/>
      <c r="M36" s="175"/>
      <c r="N36" s="175"/>
      <c r="O36" s="25"/>
      <c r="P36" s="5"/>
    </row>
    <row r="37" spans="1:17" ht="15.6" x14ac:dyDescent="0.3">
      <c r="A37" s="24"/>
      <c r="B37" s="25" t="s">
        <v>13</v>
      </c>
      <c r="C37" s="25"/>
      <c r="D37" s="105">
        <v>40983</v>
      </c>
      <c r="E37" s="30"/>
      <c r="F37" s="105">
        <v>40983</v>
      </c>
      <c r="G37" s="30"/>
      <c r="H37" s="105">
        <v>40983</v>
      </c>
      <c r="I37" s="30"/>
      <c r="J37" s="105"/>
      <c r="K37" s="30"/>
      <c r="L37" s="30"/>
      <c r="M37" s="175"/>
      <c r="N37" s="175"/>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0"/>
      <c r="G39" s="30"/>
      <c r="H39" s="30"/>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6.567641039945385E-2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40071</v>
      </c>
      <c r="O45" s="25"/>
      <c r="P45" s="5"/>
    </row>
    <row r="46" spans="1:17" ht="15.6" x14ac:dyDescent="0.3">
      <c r="A46" s="24"/>
      <c r="B46" s="25" t="s">
        <v>119</v>
      </c>
      <c r="C46" s="25"/>
      <c r="D46" s="56"/>
      <c r="E46" s="56"/>
      <c r="F46" s="56"/>
      <c r="G46" s="56"/>
      <c r="H46" s="56"/>
      <c r="I46" s="56"/>
      <c r="J46" s="25">
        <f>+N46-L46+1</f>
        <v>91</v>
      </c>
      <c r="K46" s="56"/>
      <c r="L46" s="44">
        <v>39888</v>
      </c>
      <c r="M46" s="45"/>
      <c r="N46" s="44">
        <v>39978</v>
      </c>
      <c r="O46" s="25"/>
      <c r="P46" s="5"/>
    </row>
    <row r="47" spans="1:17" ht="15.6" x14ac:dyDescent="0.3">
      <c r="A47" s="24"/>
      <c r="B47" s="25" t="s">
        <v>120</v>
      </c>
      <c r="C47" s="25"/>
      <c r="D47" s="25"/>
      <c r="E47" s="25"/>
      <c r="F47" s="25"/>
      <c r="G47" s="25"/>
      <c r="H47" s="25"/>
      <c r="I47" s="25"/>
      <c r="J47" s="25">
        <f>+N47-L47+1</f>
        <v>92</v>
      </c>
      <c r="K47" s="25"/>
      <c r="L47" s="44">
        <v>39979</v>
      </c>
      <c r="M47" s="45"/>
      <c r="N47" s="44">
        <v>40070</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40057</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252</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137492</v>
      </c>
      <c r="G57" s="34"/>
      <c r="H57" s="34">
        <f>6060+1502+625</f>
        <v>8187</v>
      </c>
      <c r="I57" s="34"/>
      <c r="J57" s="34">
        <f>1502+625</f>
        <v>2127</v>
      </c>
      <c r="K57" s="34"/>
      <c r="L57" s="34">
        <v>0</v>
      </c>
      <c r="M57" s="34"/>
      <c r="N57" s="52">
        <f>+F57-H57+J57-L57</f>
        <v>131432</v>
      </c>
      <c r="O57" s="25"/>
      <c r="P57" s="5"/>
    </row>
    <row r="58" spans="1:16" ht="15.6" x14ac:dyDescent="0.3">
      <c r="A58" s="24"/>
      <c r="B58" s="25" t="s">
        <v>209</v>
      </c>
      <c r="C58" s="34"/>
      <c r="D58" s="34">
        <v>756</v>
      </c>
      <c r="E58" s="34"/>
      <c r="F58" s="52">
        <v>518</v>
      </c>
      <c r="G58" s="34"/>
      <c r="H58" s="34">
        <f>10+5</f>
        <v>15</v>
      </c>
      <c r="I58" s="34"/>
      <c r="J58" s="34">
        <v>0</v>
      </c>
      <c r="K58" s="34"/>
      <c r="L58" s="34">
        <v>0</v>
      </c>
      <c r="M58" s="34"/>
      <c r="N58" s="52">
        <f>+F58-H58</f>
        <v>503</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138010</v>
      </c>
      <c r="G60" s="34"/>
      <c r="H60" s="34">
        <f>SUM(H57:H59)</f>
        <v>8202</v>
      </c>
      <c r="I60" s="34"/>
      <c r="J60" s="34">
        <f>SUM(J57:J59)</f>
        <v>2127</v>
      </c>
      <c r="K60" s="34"/>
      <c r="L60" s="34">
        <f>SUM(L57:L59)</f>
        <v>0</v>
      </c>
      <c r="M60" s="34"/>
      <c r="N60" s="53">
        <f>SUM(N57:N59)</f>
        <v>131935</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-518</v>
      </c>
      <c r="G69" s="34"/>
      <c r="H69" s="34"/>
      <c r="I69" s="34"/>
      <c r="J69" s="34"/>
      <c r="K69" s="34"/>
      <c r="L69" s="34"/>
      <c r="M69" s="34"/>
      <c r="N69" s="52">
        <f>-N58</f>
        <v>-503</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0</v>
      </c>
      <c r="G71" s="34"/>
      <c r="H71" s="34">
        <v>0</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137492</v>
      </c>
      <c r="G73" s="34"/>
      <c r="H73" s="34"/>
      <c r="I73" s="34"/>
      <c r="J73" s="34"/>
      <c r="K73" s="34"/>
      <c r="L73" s="53"/>
      <c r="M73" s="34"/>
      <c r="N73" s="53">
        <f>SUM(N60:N72)</f>
        <v>131432</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+L184</f>
        <v>40053</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0</v>
      </c>
      <c r="M77" s="25"/>
      <c r="N77" s="52">
        <v>0</v>
      </c>
      <c r="O77" s="25"/>
      <c r="P77" s="5"/>
    </row>
    <row r="78" spans="1:16" ht="15.6" x14ac:dyDescent="0.3">
      <c r="A78" s="24"/>
      <c r="B78" s="25" t="s">
        <v>27</v>
      </c>
      <c r="C78" s="25"/>
      <c r="D78" s="40"/>
      <c r="E78" s="25"/>
      <c r="F78" s="121"/>
      <c r="G78" s="25"/>
      <c r="H78" s="25"/>
      <c r="I78" s="25"/>
      <c r="J78" s="25"/>
      <c r="K78" s="25"/>
      <c r="L78" s="34">
        <f>8187-25</f>
        <v>8162</v>
      </c>
      <c r="M78" s="25"/>
      <c r="N78" s="52"/>
      <c r="O78" s="25"/>
      <c r="P78" s="5"/>
    </row>
    <row r="79" spans="1:16" ht="15.6" x14ac:dyDescent="0.3">
      <c r="A79" s="24"/>
      <c r="B79" s="25" t="s">
        <v>176</v>
      </c>
      <c r="C79" s="25"/>
      <c r="D79" s="40"/>
      <c r="E79" s="25"/>
      <c r="F79" s="121"/>
      <c r="G79" s="25"/>
      <c r="H79" s="25"/>
      <c r="I79" s="25"/>
      <c r="J79" s="25"/>
      <c r="K79" s="25"/>
      <c r="L79" s="34"/>
      <c r="M79" s="25"/>
      <c r="N79" s="52">
        <f>2864+144+1470-3448-61-690+64</f>
        <v>343</v>
      </c>
      <c r="O79" s="25"/>
      <c r="P79" s="5"/>
    </row>
    <row r="80" spans="1:16" ht="15.6" x14ac:dyDescent="0.3">
      <c r="A80" s="24"/>
      <c r="B80" s="25" t="s">
        <v>174</v>
      </c>
      <c r="C80" s="25"/>
      <c r="D80" s="40"/>
      <c r="E80" s="25"/>
      <c r="F80" s="121"/>
      <c r="G80" s="25"/>
      <c r="H80" s="25"/>
      <c r="I80" s="25"/>
      <c r="J80" s="25"/>
      <c r="K80" s="25"/>
      <c r="L80" s="34"/>
      <c r="M80" s="25"/>
      <c r="N80" s="52">
        <f>86+1+54</f>
        <v>141</v>
      </c>
      <c r="O80" s="25"/>
      <c r="P80" s="5"/>
    </row>
    <row r="81" spans="1:17" ht="15.6" x14ac:dyDescent="0.3">
      <c r="A81" s="24"/>
      <c r="B81" s="25" t="s">
        <v>175</v>
      </c>
      <c r="C81" s="25"/>
      <c r="D81" s="40"/>
      <c r="E81" s="25"/>
      <c r="F81" s="121"/>
      <c r="G81" s="25"/>
      <c r="H81" s="25"/>
      <c r="I81" s="25"/>
      <c r="J81" s="25"/>
      <c r="K81" s="25"/>
      <c r="L81" s="34"/>
      <c r="M81" s="25"/>
      <c r="N81" s="52">
        <v>17</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0</v>
      </c>
      <c r="O83" s="25"/>
      <c r="P83" s="5"/>
    </row>
    <row r="84" spans="1:17" ht="15.6" x14ac:dyDescent="0.3">
      <c r="A84" s="24"/>
      <c r="B84" s="25" t="s">
        <v>28</v>
      </c>
      <c r="C84" s="25"/>
      <c r="D84" s="25"/>
      <c r="E84" s="25"/>
      <c r="F84" s="25"/>
      <c r="G84" s="25"/>
      <c r="H84" s="25"/>
      <c r="I84" s="25"/>
      <c r="J84" s="25"/>
      <c r="K84" s="25"/>
      <c r="L84" s="34">
        <f>SUM(L77:L83)</f>
        <v>8162</v>
      </c>
      <c r="M84" s="25"/>
      <c r="N84" s="53">
        <f>SUM(N77:N83)</f>
        <v>501</v>
      </c>
      <c r="O84" s="25"/>
      <c r="P84" s="5"/>
    </row>
    <row r="85" spans="1:17" ht="15.6" x14ac:dyDescent="0.3">
      <c r="A85" s="24"/>
      <c r="B85" s="25" t="s">
        <v>148</v>
      </c>
      <c r="C85" s="25"/>
      <c r="D85" s="25"/>
      <c r="E85" s="25"/>
      <c r="F85" s="25"/>
      <c r="G85" s="25"/>
      <c r="H85" s="25"/>
      <c r="I85" s="25"/>
      <c r="J85" s="25"/>
      <c r="K85" s="25"/>
      <c r="L85" s="34">
        <v>-1502</v>
      </c>
      <c r="M85" s="25"/>
      <c r="N85" s="53">
        <f>-L85</f>
        <v>1502</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244</v>
      </c>
      <c r="C87" s="25"/>
      <c r="D87" s="25"/>
      <c r="E87" s="25"/>
      <c r="F87" s="25"/>
      <c r="G87" s="25"/>
      <c r="H87" s="25"/>
      <c r="I87" s="25"/>
      <c r="J87" s="25"/>
      <c r="K87" s="25"/>
      <c r="L87" s="34"/>
      <c r="M87" s="25"/>
      <c r="N87" s="52">
        <v>0</v>
      </c>
      <c r="O87" s="25"/>
      <c r="P87" s="5"/>
    </row>
    <row r="88" spans="1:17" ht="15.6" x14ac:dyDescent="0.3">
      <c r="A88" s="24"/>
      <c r="B88" s="25" t="s">
        <v>30</v>
      </c>
      <c r="C88" s="25"/>
      <c r="D88" s="25"/>
      <c r="E88" s="25"/>
      <c r="F88" s="25"/>
      <c r="G88" s="25"/>
      <c r="H88" s="25"/>
      <c r="I88" s="25"/>
      <c r="J88" s="25"/>
      <c r="K88" s="25"/>
      <c r="L88" s="34">
        <f>L84+L86+L85</f>
        <v>6660</v>
      </c>
      <c r="M88" s="25"/>
      <c r="N88" s="53">
        <f>N84+N86+N85+N87</f>
        <v>2003</v>
      </c>
      <c r="O88" s="25"/>
      <c r="P88" s="5"/>
    </row>
    <row r="89" spans="1:17" ht="15.6" x14ac:dyDescent="0.3">
      <c r="A89" s="24"/>
      <c r="B89" s="113" t="s">
        <v>31</v>
      </c>
      <c r="C89" s="25"/>
      <c r="D89" s="25"/>
      <c r="E89" s="25"/>
      <c r="F89" s="25"/>
      <c r="G89" s="25"/>
      <c r="H89" s="25"/>
      <c r="I89" s="25"/>
      <c r="J89" s="25"/>
      <c r="K89" s="25"/>
      <c r="L89" s="34"/>
      <c r="M89" s="25"/>
      <c r="N89" s="52"/>
      <c r="O89" s="25"/>
      <c r="P89" s="5"/>
    </row>
    <row r="90" spans="1:17" ht="15.6" x14ac:dyDescent="0.3">
      <c r="A90" s="24">
        <v>1</v>
      </c>
      <c r="B90" s="25" t="s">
        <v>32</v>
      </c>
      <c r="C90" s="25"/>
      <c r="D90" s="25"/>
      <c r="E90" s="25"/>
      <c r="F90" s="25"/>
      <c r="G90" s="25"/>
      <c r="H90" s="25"/>
      <c r="I90" s="25"/>
      <c r="J90" s="25"/>
      <c r="K90" s="25"/>
      <c r="L90" s="25"/>
      <c r="M90" s="25"/>
      <c r="N90" s="52">
        <v>0</v>
      </c>
      <c r="O90" s="25"/>
      <c r="P90" s="5"/>
    </row>
    <row r="91" spans="1:17" ht="15.6" x14ac:dyDescent="0.3">
      <c r="A91" s="24">
        <f>+A90+1</f>
        <v>2</v>
      </c>
      <c r="B91" s="25" t="s">
        <v>224</v>
      </c>
      <c r="C91" s="25"/>
      <c r="D91" s="25"/>
      <c r="E91" s="25"/>
      <c r="F91" s="25"/>
      <c r="G91" s="25"/>
      <c r="H91" s="25"/>
      <c r="I91" s="25"/>
      <c r="J91" s="25"/>
      <c r="K91" s="25"/>
      <c r="L91" s="25"/>
      <c r="M91" s="25"/>
      <c r="N91" s="52">
        <v>-2</v>
      </c>
      <c r="O91" s="25"/>
      <c r="P91" s="5"/>
    </row>
    <row r="92" spans="1:17" ht="15.6" x14ac:dyDescent="0.3">
      <c r="A92" s="24">
        <f>+A91+1</f>
        <v>3</v>
      </c>
      <c r="B92" s="25" t="s">
        <v>235</v>
      </c>
      <c r="C92" s="25"/>
      <c r="D92" s="25"/>
      <c r="E92" s="25"/>
      <c r="F92" s="25"/>
      <c r="G92" s="25"/>
      <c r="H92" s="25"/>
      <c r="I92" s="25"/>
      <c r="J92" s="25"/>
      <c r="K92" s="25"/>
      <c r="L92" s="25"/>
      <c r="M92" s="25"/>
      <c r="N92" s="52">
        <f>-52-2-15</f>
        <v>-69</v>
      </c>
      <c r="O92" s="25"/>
      <c r="P92" s="5"/>
    </row>
    <row r="93" spans="1:17" ht="15.6" x14ac:dyDescent="0.3">
      <c r="A93" s="24" t="s">
        <v>123</v>
      </c>
      <c r="B93" s="25" t="s">
        <v>116</v>
      </c>
      <c r="C93" s="25"/>
      <c r="D93" s="25"/>
      <c r="E93" s="25"/>
      <c r="F93" s="25"/>
      <c r="G93" s="25"/>
      <c r="H93" s="25"/>
      <c r="I93" s="25"/>
      <c r="J93" s="25"/>
      <c r="K93" s="25"/>
      <c r="L93" s="25"/>
      <c r="M93" s="25"/>
      <c r="N93" s="52">
        <v>0</v>
      </c>
      <c r="O93" s="25"/>
      <c r="P93" s="5"/>
    </row>
    <row r="94" spans="1:17" ht="15.6" x14ac:dyDescent="0.3">
      <c r="A94" s="24" t="s">
        <v>124</v>
      </c>
      <c r="B94" s="25" t="s">
        <v>214</v>
      </c>
      <c r="C94" s="25"/>
      <c r="D94" s="25"/>
      <c r="E94" s="25"/>
      <c r="F94" s="25"/>
      <c r="G94" s="25"/>
      <c r="H94" s="25"/>
      <c r="I94" s="25"/>
      <c r="J94" s="25"/>
      <c r="K94" s="25"/>
      <c r="L94" s="25"/>
      <c r="M94" s="25"/>
      <c r="N94" s="52">
        <v>-447</v>
      </c>
      <c r="O94" s="25"/>
      <c r="P94" s="5"/>
    </row>
    <row r="95" spans="1:17" ht="15.6" x14ac:dyDescent="0.3">
      <c r="A95" s="24" t="s">
        <v>140</v>
      </c>
      <c r="B95" s="25" t="s">
        <v>180</v>
      </c>
      <c r="C95" s="25"/>
      <c r="D95" s="25"/>
      <c r="E95" s="25"/>
      <c r="F95" s="25"/>
      <c r="G95" s="25"/>
      <c r="H95" s="25"/>
      <c r="I95" s="25"/>
      <c r="J95" s="25"/>
      <c r="K95" s="25"/>
      <c r="L95" s="25"/>
      <c r="M95" s="25"/>
      <c r="N95" s="52">
        <v>-1</v>
      </c>
      <c r="O95" s="25"/>
      <c r="P95" s="5"/>
    </row>
    <row r="96" spans="1:17" ht="15.6" x14ac:dyDescent="0.3">
      <c r="A96" s="24" t="s">
        <v>169</v>
      </c>
      <c r="B96" s="25" t="s">
        <v>215</v>
      </c>
      <c r="C96" s="25"/>
      <c r="D96" s="25"/>
      <c r="E96" s="25"/>
      <c r="F96" s="25"/>
      <c r="G96" s="25"/>
      <c r="H96" s="25"/>
      <c r="I96" s="25"/>
      <c r="J96" s="25"/>
      <c r="K96" s="25"/>
      <c r="L96" s="25"/>
      <c r="M96" s="25"/>
      <c r="N96" s="52">
        <v>-15</v>
      </c>
      <c r="O96" s="25"/>
      <c r="P96" s="5"/>
      <c r="Q96" s="104"/>
    </row>
    <row r="97" spans="1:17" ht="15.6" x14ac:dyDescent="0.3">
      <c r="A97" s="24" t="s">
        <v>170</v>
      </c>
      <c r="B97" s="25" t="s">
        <v>216</v>
      </c>
      <c r="C97" s="25"/>
      <c r="D97" s="25"/>
      <c r="E97" s="25"/>
      <c r="F97" s="25"/>
      <c r="G97" s="25"/>
      <c r="H97" s="25"/>
      <c r="I97" s="25"/>
      <c r="J97" s="25"/>
      <c r="K97" s="25"/>
      <c r="L97" s="25"/>
      <c r="M97" s="25"/>
      <c r="N97" s="52">
        <v>-16</v>
      </c>
      <c r="O97" s="25"/>
      <c r="P97" s="5"/>
      <c r="Q97" s="104"/>
    </row>
    <row r="98" spans="1:17" ht="15.6" x14ac:dyDescent="0.3">
      <c r="A98" s="24">
        <v>7</v>
      </c>
      <c r="B98" s="25" t="s">
        <v>33</v>
      </c>
      <c r="C98" s="25"/>
      <c r="D98" s="25"/>
      <c r="E98" s="25"/>
      <c r="F98" s="25"/>
      <c r="G98" s="25"/>
      <c r="H98" s="25"/>
      <c r="I98" s="25"/>
      <c r="J98" s="25"/>
      <c r="K98" s="25"/>
      <c r="L98" s="25"/>
      <c r="M98" s="25"/>
      <c r="N98" s="52">
        <v>-9</v>
      </c>
      <c r="O98" s="25"/>
      <c r="P98" s="5"/>
    </row>
    <row r="99" spans="1:17" ht="15.6" x14ac:dyDescent="0.3">
      <c r="A99" s="24">
        <f t="shared" ref="A99:A105" si="0">+A98+1</f>
        <v>8</v>
      </c>
      <c r="B99" s="25" t="s">
        <v>42</v>
      </c>
      <c r="C99" s="25"/>
      <c r="D99" s="25"/>
      <c r="E99" s="25"/>
      <c r="F99" s="25"/>
      <c r="G99" s="25"/>
      <c r="H99" s="25"/>
      <c r="I99" s="25"/>
      <c r="J99" s="25"/>
      <c r="K99" s="25"/>
      <c r="L99" s="34">
        <f>-N99</f>
        <v>25</v>
      </c>
      <c r="M99" s="25"/>
      <c r="N99" s="52">
        <v>-25</v>
      </c>
      <c r="O99" s="25"/>
      <c r="P99" s="5"/>
    </row>
    <row r="100" spans="1:17" ht="15.6" x14ac:dyDescent="0.3">
      <c r="A100" s="24">
        <f t="shared" si="0"/>
        <v>9</v>
      </c>
      <c r="B100" s="25" t="s">
        <v>121</v>
      </c>
      <c r="C100" s="25"/>
      <c r="D100" s="25"/>
      <c r="E100" s="25"/>
      <c r="F100" s="25"/>
      <c r="G100" s="25"/>
      <c r="H100" s="25"/>
      <c r="I100" s="25"/>
      <c r="J100" s="25"/>
      <c r="K100" s="25"/>
      <c r="L100" s="25"/>
      <c r="M100" s="25"/>
      <c r="N100" s="52">
        <v>0</v>
      </c>
      <c r="O100" s="25"/>
      <c r="P100" s="5"/>
    </row>
    <row r="101" spans="1:17" ht="15.6" x14ac:dyDescent="0.3">
      <c r="A101" s="24">
        <f t="shared" si="0"/>
        <v>10</v>
      </c>
      <c r="B101" s="25" t="s">
        <v>182</v>
      </c>
      <c r="C101" s="25"/>
      <c r="D101" s="25"/>
      <c r="E101" s="25"/>
      <c r="F101" s="25"/>
      <c r="G101" s="25"/>
      <c r="H101" s="25"/>
      <c r="I101" s="25"/>
      <c r="J101" s="25"/>
      <c r="K101" s="25"/>
      <c r="L101" s="25"/>
      <c r="M101" s="25"/>
      <c r="N101" s="52">
        <v>0</v>
      </c>
      <c r="O101" s="25"/>
      <c r="P101" s="5"/>
    </row>
    <row r="102" spans="1:17" ht="15.6" x14ac:dyDescent="0.3">
      <c r="A102" s="24">
        <f t="shared" si="0"/>
        <v>11</v>
      </c>
      <c r="B102" s="25" t="s">
        <v>34</v>
      </c>
      <c r="C102" s="25"/>
      <c r="D102" s="25"/>
      <c r="E102" s="25"/>
      <c r="F102" s="25"/>
      <c r="G102" s="25"/>
      <c r="H102" s="25"/>
      <c r="I102" s="25"/>
      <c r="J102" s="25"/>
      <c r="K102" s="25"/>
      <c r="L102" s="25"/>
      <c r="M102" s="25"/>
      <c r="N102" s="52">
        <v>0</v>
      </c>
      <c r="O102" s="25"/>
      <c r="P102" s="5"/>
    </row>
    <row r="103" spans="1:17" ht="15.6" x14ac:dyDescent="0.3">
      <c r="A103" s="24">
        <f t="shared" si="0"/>
        <v>12</v>
      </c>
      <c r="B103" s="25" t="s">
        <v>181</v>
      </c>
      <c r="C103" s="25"/>
      <c r="D103" s="25"/>
      <c r="E103" s="25"/>
      <c r="F103" s="25"/>
      <c r="G103" s="25"/>
      <c r="H103" s="25"/>
      <c r="I103" s="25"/>
      <c r="J103" s="25"/>
      <c r="K103" s="25"/>
      <c r="L103" s="25"/>
      <c r="M103" s="25"/>
      <c r="N103" s="52">
        <v>0</v>
      </c>
      <c r="O103" s="25"/>
      <c r="P103" s="5"/>
    </row>
    <row r="104" spans="1:17" ht="15.6" x14ac:dyDescent="0.3">
      <c r="A104" s="24">
        <f t="shared" si="0"/>
        <v>13</v>
      </c>
      <c r="B104" s="25" t="s">
        <v>139</v>
      </c>
      <c r="C104" s="25"/>
      <c r="D104" s="25"/>
      <c r="E104" s="25"/>
      <c r="F104" s="25"/>
      <c r="G104" s="25"/>
      <c r="H104" s="25"/>
      <c r="I104" s="25"/>
      <c r="J104" s="25"/>
      <c r="K104" s="25"/>
      <c r="L104" s="25"/>
      <c r="M104" s="25"/>
      <c r="N104" s="52">
        <v>-53</v>
      </c>
      <c r="O104" s="25"/>
      <c r="P104" s="5"/>
    </row>
    <row r="105" spans="1:17" ht="15.6" x14ac:dyDescent="0.3">
      <c r="A105" s="24">
        <f t="shared" si="0"/>
        <v>14</v>
      </c>
      <c r="B105" s="25" t="s">
        <v>122</v>
      </c>
      <c r="C105" s="25"/>
      <c r="D105" s="25"/>
      <c r="E105" s="25"/>
      <c r="F105" s="25"/>
      <c r="G105" s="25"/>
      <c r="H105" s="25"/>
      <c r="I105" s="25"/>
      <c r="J105" s="25"/>
      <c r="K105" s="25"/>
      <c r="L105" s="25"/>
      <c r="M105" s="25"/>
      <c r="N105" s="52">
        <f>-N88-SUM(N90:N104)</f>
        <v>-1366</v>
      </c>
      <c r="O105" s="25"/>
      <c r="P105" s="5"/>
    </row>
    <row r="106" spans="1:17" ht="15.6" x14ac:dyDescent="0.3">
      <c r="A106" s="24"/>
      <c r="B106" s="113" t="s">
        <v>35</v>
      </c>
      <c r="C106" s="25"/>
      <c r="D106" s="25"/>
      <c r="E106" s="25"/>
      <c r="F106" s="25"/>
      <c r="G106" s="25"/>
      <c r="H106" s="25"/>
      <c r="I106" s="25"/>
      <c r="J106" s="25"/>
      <c r="K106" s="25"/>
      <c r="L106" s="25"/>
      <c r="M106" s="25"/>
      <c r="N106" s="57"/>
      <c r="O106" s="25"/>
      <c r="P106" s="5"/>
    </row>
    <row r="107" spans="1:17" ht="15.6" x14ac:dyDescent="0.3">
      <c r="A107" s="24"/>
      <c r="B107" s="25" t="s">
        <v>160</v>
      </c>
      <c r="C107" s="25"/>
      <c r="D107" s="25"/>
      <c r="E107" s="25"/>
      <c r="F107" s="25"/>
      <c r="G107" s="25"/>
      <c r="H107" s="25"/>
      <c r="I107" s="25"/>
      <c r="J107" s="25"/>
      <c r="K107" s="25"/>
      <c r="L107" s="34">
        <v>0</v>
      </c>
      <c r="M107" s="34"/>
      <c r="N107" s="52"/>
      <c r="O107" s="25"/>
      <c r="P107" s="5"/>
    </row>
    <row r="108" spans="1:17" ht="15.6" x14ac:dyDescent="0.3">
      <c r="A108" s="24"/>
      <c r="B108" s="25" t="s">
        <v>161</v>
      </c>
      <c r="C108" s="25"/>
      <c r="D108" s="25"/>
      <c r="E108" s="25"/>
      <c r="F108" s="25"/>
      <c r="G108" s="25"/>
      <c r="H108" s="25"/>
      <c r="I108" s="25"/>
      <c r="J108" s="25"/>
      <c r="K108" s="25"/>
      <c r="L108" s="34">
        <v>-625</v>
      </c>
      <c r="M108" s="34"/>
      <c r="N108" s="52"/>
      <c r="O108" s="25"/>
      <c r="P108" s="5"/>
    </row>
    <row r="109" spans="1:17" ht="15.6" x14ac:dyDescent="0.3">
      <c r="A109" s="24"/>
      <c r="B109" s="25" t="s">
        <v>200</v>
      </c>
      <c r="C109" s="25"/>
      <c r="D109" s="25"/>
      <c r="E109" s="25"/>
      <c r="F109" s="25"/>
      <c r="G109" s="25"/>
      <c r="H109" s="25"/>
      <c r="I109" s="25"/>
      <c r="J109" s="25"/>
      <c r="K109" s="25"/>
      <c r="L109" s="34">
        <v>-6060</v>
      </c>
      <c r="M109" s="34"/>
      <c r="N109" s="52"/>
      <c r="O109" s="25"/>
      <c r="P109" s="5"/>
    </row>
    <row r="110" spans="1:17" ht="15.6" x14ac:dyDescent="0.3">
      <c r="A110" s="24"/>
      <c r="B110" s="25" t="s">
        <v>201</v>
      </c>
      <c r="C110" s="25"/>
      <c r="D110" s="25"/>
      <c r="E110" s="25"/>
      <c r="F110" s="25"/>
      <c r="G110" s="25"/>
      <c r="H110" s="25"/>
      <c r="I110" s="25"/>
      <c r="J110" s="25"/>
      <c r="K110" s="25"/>
      <c r="L110" s="34">
        <v>0</v>
      </c>
      <c r="M110" s="34"/>
      <c r="N110" s="52"/>
      <c r="O110" s="25"/>
      <c r="P110" s="5"/>
    </row>
    <row r="111" spans="1:17" ht="15.6" x14ac:dyDescent="0.3">
      <c r="A111" s="24"/>
      <c r="B111" s="25" t="s">
        <v>202</v>
      </c>
      <c r="C111" s="25"/>
      <c r="D111" s="25"/>
      <c r="E111" s="25"/>
      <c r="F111" s="25"/>
      <c r="G111" s="25"/>
      <c r="H111" s="25"/>
      <c r="I111" s="25"/>
      <c r="J111" s="25"/>
      <c r="K111" s="25"/>
      <c r="L111" s="34">
        <v>0</v>
      </c>
      <c r="M111" s="34"/>
      <c r="N111" s="52"/>
      <c r="O111" s="25"/>
      <c r="P111" s="5"/>
    </row>
    <row r="112" spans="1:17" ht="15.6" x14ac:dyDescent="0.3">
      <c r="A112" s="24"/>
      <c r="B112" s="25" t="s">
        <v>36</v>
      </c>
      <c r="C112" s="25"/>
      <c r="D112" s="25"/>
      <c r="E112" s="25"/>
      <c r="F112" s="25"/>
      <c r="G112" s="25"/>
      <c r="H112" s="25"/>
      <c r="I112" s="25"/>
      <c r="J112" s="25"/>
      <c r="K112" s="25"/>
      <c r="L112" s="34">
        <f>SUM(L107:L111)</f>
        <v>-6685</v>
      </c>
      <c r="M112" s="34"/>
      <c r="N112" s="34">
        <f>SUM(N89:N110)</f>
        <v>-2003</v>
      </c>
      <c r="O112" s="25"/>
      <c r="P112" s="5"/>
    </row>
    <row r="113" spans="1:17" ht="15.6" x14ac:dyDescent="0.3">
      <c r="A113" s="24"/>
      <c r="B113" s="25" t="s">
        <v>37</v>
      </c>
      <c r="C113" s="25"/>
      <c r="D113" s="25"/>
      <c r="E113" s="25"/>
      <c r="F113" s="25"/>
      <c r="G113" s="25"/>
      <c r="H113" s="25"/>
      <c r="I113" s="25"/>
      <c r="J113" s="25"/>
      <c r="K113" s="25"/>
      <c r="L113" s="34">
        <f>L88+L112+L99</f>
        <v>0</v>
      </c>
      <c r="M113" s="34"/>
      <c r="N113" s="34">
        <f>N88+N112</f>
        <v>0</v>
      </c>
      <c r="O113" s="25"/>
      <c r="P113" s="5"/>
    </row>
    <row r="114" spans="1:17" ht="15.6" x14ac:dyDescent="0.3">
      <c r="A114" s="24"/>
      <c r="B114" s="25"/>
      <c r="C114" s="25"/>
      <c r="D114" s="25"/>
      <c r="E114" s="25"/>
      <c r="F114" s="25"/>
      <c r="G114" s="25"/>
      <c r="H114" s="25"/>
      <c r="I114" s="25"/>
      <c r="J114" s="25"/>
      <c r="K114" s="25"/>
      <c r="L114" s="34"/>
      <c r="M114" s="34"/>
      <c r="N114" s="34"/>
      <c r="O114" s="25"/>
      <c r="P114" s="5"/>
    </row>
    <row r="115" spans="1:17" ht="15.6" x14ac:dyDescent="0.3">
      <c r="A115" s="6"/>
      <c r="B115" s="8"/>
      <c r="C115" s="8"/>
      <c r="D115" s="8"/>
      <c r="E115" s="8"/>
      <c r="F115" s="8"/>
      <c r="G115" s="8"/>
      <c r="H115" s="8"/>
      <c r="I115" s="8"/>
      <c r="J115" s="8"/>
      <c r="K115" s="8"/>
      <c r="L115" s="8"/>
      <c r="M115" s="8"/>
      <c r="N115" s="51"/>
      <c r="O115" s="8"/>
      <c r="P115" s="5"/>
    </row>
    <row r="116" spans="1:17" ht="18" thickBot="1" x14ac:dyDescent="0.35">
      <c r="A116" s="96"/>
      <c r="B116" s="97" t="str">
        <f>B52</f>
        <v>FF7 INVESTOR REPORT QUARTER ENDING AUGUST 2009</v>
      </c>
      <c r="C116" s="98"/>
      <c r="D116" s="98"/>
      <c r="E116" s="98"/>
      <c r="F116" s="98"/>
      <c r="G116" s="98"/>
      <c r="H116" s="98"/>
      <c r="I116" s="98"/>
      <c r="J116" s="98"/>
      <c r="K116" s="98"/>
      <c r="L116" s="98"/>
      <c r="M116" s="98"/>
      <c r="N116" s="101"/>
      <c r="O116" s="100"/>
      <c r="P116" s="5"/>
    </row>
    <row r="117" spans="1:17" ht="15.6" x14ac:dyDescent="0.3">
      <c r="A117" s="2"/>
      <c r="B117" s="58" t="s">
        <v>38</v>
      </c>
      <c r="C117" s="4"/>
      <c r="D117" s="4"/>
      <c r="E117" s="4"/>
      <c r="F117" s="4"/>
      <c r="G117" s="4"/>
      <c r="H117" s="4"/>
      <c r="I117" s="4"/>
      <c r="J117" s="4"/>
      <c r="K117" s="4"/>
      <c r="L117" s="4"/>
      <c r="M117" s="4"/>
      <c r="N117" s="49"/>
      <c r="O117" s="4"/>
      <c r="P117" s="5"/>
    </row>
    <row r="118" spans="1:17" ht="15.6" x14ac:dyDescent="0.3">
      <c r="A118" s="6"/>
      <c r="B118" s="21"/>
      <c r="C118" s="8"/>
      <c r="D118" s="8"/>
      <c r="E118" s="8"/>
      <c r="F118" s="8"/>
      <c r="G118" s="8"/>
      <c r="H118" s="8"/>
      <c r="I118" s="8"/>
      <c r="J118" s="8"/>
      <c r="K118" s="8"/>
      <c r="L118" s="8"/>
      <c r="M118" s="8"/>
      <c r="N118" s="51"/>
      <c r="O118" s="8"/>
      <c r="P118" s="5"/>
    </row>
    <row r="119" spans="1:17" ht="15.6" x14ac:dyDescent="0.3">
      <c r="A119" s="6"/>
      <c r="B119" s="114" t="s">
        <v>39</v>
      </c>
      <c r="C119" s="8"/>
      <c r="D119" s="8"/>
      <c r="E119" s="8"/>
      <c r="F119" s="8"/>
      <c r="G119" s="8"/>
      <c r="H119" s="8"/>
      <c r="I119" s="8"/>
      <c r="J119" s="8"/>
      <c r="K119" s="8"/>
      <c r="L119" s="8"/>
      <c r="M119" s="8"/>
      <c r="N119" s="51"/>
      <c r="O119" s="8"/>
      <c r="P119" s="5"/>
    </row>
    <row r="120" spans="1:17" ht="15.6" x14ac:dyDescent="0.3">
      <c r="A120" s="24"/>
      <c r="B120" s="25" t="s">
        <v>40</v>
      </c>
      <c r="C120" s="25"/>
      <c r="D120" s="25"/>
      <c r="E120" s="25"/>
      <c r="F120" s="25"/>
      <c r="G120" s="25"/>
      <c r="H120" s="25"/>
      <c r="I120" s="25"/>
      <c r="J120" s="25"/>
      <c r="K120" s="25"/>
      <c r="L120" s="25"/>
      <c r="M120" s="25"/>
      <c r="N120" s="52">
        <f>N28*0.003</f>
        <v>805.80000000000007</v>
      </c>
      <c r="O120" s="25"/>
      <c r="P120" s="5"/>
    </row>
    <row r="121" spans="1:17" ht="15.6" x14ac:dyDescent="0.3">
      <c r="A121" s="24"/>
      <c r="B121" s="25" t="s">
        <v>41</v>
      </c>
      <c r="C121" s="25"/>
      <c r="D121" s="25"/>
      <c r="E121" s="25"/>
      <c r="F121" s="25"/>
      <c r="G121" s="25"/>
      <c r="H121" s="25"/>
      <c r="I121" s="25"/>
      <c r="J121" s="25"/>
      <c r="K121" s="25"/>
      <c r="L121" s="25"/>
      <c r="M121" s="25"/>
      <c r="N121" s="52">
        <v>806</v>
      </c>
      <c r="O121" s="25"/>
      <c r="P121" s="5"/>
    </row>
    <row r="122" spans="1:17" ht="15.6" x14ac:dyDescent="0.3">
      <c r="A122" s="24"/>
      <c r="B122" s="25" t="s">
        <v>132</v>
      </c>
      <c r="C122" s="25"/>
      <c r="D122" s="25"/>
      <c r="E122" s="25"/>
      <c r="F122" s="25"/>
      <c r="G122" s="25"/>
      <c r="H122" s="25"/>
      <c r="I122" s="25"/>
      <c r="J122" s="25"/>
      <c r="K122" s="25"/>
      <c r="L122" s="25"/>
      <c r="M122" s="25"/>
      <c r="N122" s="52">
        <v>0</v>
      </c>
      <c r="O122" s="25"/>
      <c r="P122" s="5"/>
    </row>
    <row r="123" spans="1:17" ht="15.6" x14ac:dyDescent="0.3">
      <c r="A123" s="24"/>
      <c r="B123" s="25" t="s">
        <v>221</v>
      </c>
      <c r="C123" s="25"/>
      <c r="D123" s="25"/>
      <c r="E123" s="25"/>
      <c r="F123" s="25"/>
      <c r="G123" s="25"/>
      <c r="H123" s="25"/>
      <c r="I123" s="25"/>
      <c r="J123" s="25"/>
      <c r="K123" s="25"/>
      <c r="L123" s="25"/>
      <c r="M123" s="25"/>
      <c r="N123" s="52">
        <v>0</v>
      </c>
      <c r="O123" s="25"/>
      <c r="P123" s="5"/>
    </row>
    <row r="124" spans="1:17" ht="15.6" x14ac:dyDescent="0.3">
      <c r="A124" s="24"/>
      <c r="B124" s="25" t="s">
        <v>222</v>
      </c>
      <c r="C124" s="25"/>
      <c r="D124" s="25"/>
      <c r="E124" s="25"/>
      <c r="F124" s="25"/>
      <c r="G124" s="25"/>
      <c r="H124" s="25"/>
      <c r="I124" s="25"/>
      <c r="J124" s="25"/>
      <c r="K124" s="25"/>
      <c r="L124" s="25"/>
      <c r="M124" s="25"/>
      <c r="N124" s="52">
        <v>0</v>
      </c>
      <c r="O124" s="25"/>
      <c r="P124" s="5"/>
    </row>
    <row r="125" spans="1:17" ht="15.6" x14ac:dyDescent="0.3">
      <c r="A125" s="24"/>
      <c r="B125" s="25" t="s">
        <v>223</v>
      </c>
      <c r="C125" s="25"/>
      <c r="D125" s="25"/>
      <c r="E125" s="25"/>
      <c r="F125" s="25"/>
      <c r="G125" s="25"/>
      <c r="H125" s="25"/>
      <c r="I125" s="25"/>
      <c r="J125" s="25"/>
      <c r="K125" s="25"/>
      <c r="L125" s="25"/>
      <c r="M125" s="25"/>
      <c r="N125" s="52">
        <v>0</v>
      </c>
      <c r="O125" s="25"/>
      <c r="P125" s="5"/>
    </row>
    <row r="126" spans="1:17" ht="15.6" x14ac:dyDescent="0.3">
      <c r="A126" s="24"/>
      <c r="B126" s="25" t="s">
        <v>42</v>
      </c>
      <c r="C126" s="25"/>
      <c r="D126" s="25"/>
      <c r="E126" s="25"/>
      <c r="F126" s="25"/>
      <c r="G126" s="25"/>
      <c r="H126" s="25"/>
      <c r="I126" s="25"/>
      <c r="J126" s="25"/>
      <c r="K126" s="25"/>
      <c r="L126" s="25"/>
      <c r="M126" s="25"/>
      <c r="N126" s="52">
        <v>0</v>
      </c>
      <c r="O126" s="25"/>
      <c r="P126" s="5"/>
    </row>
    <row r="127" spans="1:17" ht="15.6" x14ac:dyDescent="0.3">
      <c r="A127" s="24"/>
      <c r="B127" s="25" t="s">
        <v>125</v>
      </c>
      <c r="C127" s="25"/>
      <c r="D127" s="25"/>
      <c r="E127" s="25"/>
      <c r="F127" s="25"/>
      <c r="G127" s="25"/>
      <c r="H127" s="25"/>
      <c r="I127" s="25"/>
      <c r="J127" s="25"/>
      <c r="K127" s="25"/>
      <c r="L127" s="25"/>
      <c r="M127" s="25"/>
      <c r="N127" s="52">
        <v>0</v>
      </c>
      <c r="O127" s="25"/>
      <c r="P127" s="5"/>
    </row>
    <row r="128" spans="1:17" ht="15.6" x14ac:dyDescent="0.3">
      <c r="A128" s="24"/>
      <c r="B128" s="25" t="s">
        <v>225</v>
      </c>
      <c r="C128" s="25"/>
      <c r="D128" s="25"/>
      <c r="E128" s="25"/>
      <c r="F128" s="25"/>
      <c r="G128" s="25"/>
      <c r="H128" s="25"/>
      <c r="I128" s="25"/>
      <c r="J128" s="25"/>
      <c r="K128" s="25"/>
      <c r="L128" s="25"/>
      <c r="M128" s="25"/>
      <c r="N128" s="52">
        <v>0</v>
      </c>
      <c r="O128" s="25"/>
      <c r="P128" s="5"/>
      <c r="Q128" s="104"/>
    </row>
    <row r="129" spans="1:16" ht="15.6" x14ac:dyDescent="0.3">
      <c r="A129" s="24"/>
      <c r="B129" s="25" t="s">
        <v>43</v>
      </c>
      <c r="C129" s="25"/>
      <c r="D129" s="25"/>
      <c r="E129" s="25"/>
      <c r="F129" s="25"/>
      <c r="G129" s="25"/>
      <c r="H129" s="25"/>
      <c r="I129" s="25"/>
      <c r="J129" s="25"/>
      <c r="K129" s="25"/>
      <c r="L129" s="25"/>
      <c r="M129" s="25"/>
      <c r="N129" s="52">
        <f>SUM(N121:N128)</f>
        <v>806</v>
      </c>
      <c r="O129" s="25"/>
      <c r="P129" s="5"/>
    </row>
    <row r="130" spans="1:16" ht="15.6" x14ac:dyDescent="0.3">
      <c r="A130" s="24"/>
      <c r="B130" s="25"/>
      <c r="C130" s="25"/>
      <c r="D130" s="25"/>
      <c r="E130" s="25"/>
      <c r="F130" s="25"/>
      <c r="G130" s="25"/>
      <c r="H130" s="25"/>
      <c r="I130" s="25"/>
      <c r="J130" s="25"/>
      <c r="K130" s="25"/>
      <c r="L130" s="25"/>
      <c r="M130" s="25"/>
      <c r="N130" s="52"/>
      <c r="O130" s="25"/>
      <c r="P130" s="5"/>
    </row>
    <row r="131" spans="1:16" ht="15.6" x14ac:dyDescent="0.3">
      <c r="A131" s="24"/>
      <c r="B131" s="130" t="s">
        <v>179</v>
      </c>
      <c r="C131" s="25"/>
      <c r="D131" s="25"/>
      <c r="E131" s="25"/>
      <c r="F131" s="25"/>
      <c r="G131" s="25"/>
      <c r="H131" s="25"/>
      <c r="I131" s="25"/>
      <c r="J131" s="25"/>
      <c r="K131" s="25"/>
      <c r="L131" s="25"/>
      <c r="M131" s="25"/>
      <c r="N131" s="52"/>
      <c r="O131" s="25"/>
      <c r="P131" s="5"/>
    </row>
    <row r="132" spans="1:16" ht="15.6" x14ac:dyDescent="0.3">
      <c r="A132" s="24"/>
      <c r="B132" s="25" t="s">
        <v>144</v>
      </c>
      <c r="C132" s="25"/>
      <c r="D132" s="25"/>
      <c r="E132" s="25"/>
      <c r="F132" s="25"/>
      <c r="G132" s="25"/>
      <c r="H132" s="25"/>
      <c r="I132" s="25"/>
      <c r="J132" s="25"/>
      <c r="K132" s="25"/>
      <c r="L132" s="25"/>
      <c r="M132" s="25"/>
      <c r="N132" s="52">
        <v>7098</v>
      </c>
      <c r="O132" s="25"/>
      <c r="P132" s="5"/>
    </row>
    <row r="133" spans="1:16" ht="15.6" x14ac:dyDescent="0.3">
      <c r="A133" s="24"/>
      <c r="B133" s="25" t="s">
        <v>159</v>
      </c>
      <c r="C133" s="25"/>
      <c r="D133" s="25"/>
      <c r="E133" s="25"/>
      <c r="F133" s="25"/>
      <c r="G133" s="25"/>
      <c r="H133" s="25"/>
      <c r="I133" s="25"/>
      <c r="J133" s="25"/>
      <c r="K133" s="25"/>
      <c r="L133" s="25"/>
      <c r="M133" s="25"/>
      <c r="N133" s="52">
        <v>0</v>
      </c>
      <c r="O133" s="25"/>
      <c r="P133" s="5"/>
    </row>
    <row r="134" spans="1:16" ht="15.6" x14ac:dyDescent="0.3">
      <c r="A134" s="24"/>
      <c r="B134" s="25" t="s">
        <v>183</v>
      </c>
      <c r="C134" s="25"/>
      <c r="D134" s="25"/>
      <c r="E134" s="25"/>
      <c r="F134" s="25"/>
      <c r="G134" s="25"/>
      <c r="H134" s="25"/>
      <c r="I134" s="25"/>
      <c r="J134" s="25"/>
      <c r="K134" s="25"/>
      <c r="L134" s="25"/>
      <c r="M134" s="25"/>
      <c r="N134" s="52">
        <v>3546</v>
      </c>
      <c r="O134" s="25"/>
      <c r="P134" s="5"/>
    </row>
    <row r="135" spans="1:16" ht="15.6" x14ac:dyDescent="0.3">
      <c r="A135" s="24"/>
      <c r="B135" s="25"/>
      <c r="C135" s="25"/>
      <c r="D135" s="25"/>
      <c r="E135" s="25"/>
      <c r="F135" s="25"/>
      <c r="G135" s="25"/>
      <c r="H135" s="25"/>
      <c r="I135" s="25"/>
      <c r="J135" s="25"/>
      <c r="K135" s="25"/>
      <c r="L135" s="25"/>
      <c r="M135" s="25"/>
      <c r="N135" s="52"/>
      <c r="O135" s="25"/>
      <c r="P135" s="5"/>
    </row>
    <row r="136" spans="1:16" ht="15.6" x14ac:dyDescent="0.3">
      <c r="A136" s="24"/>
      <c r="B136" s="25"/>
      <c r="C136" s="25"/>
      <c r="D136" s="25"/>
      <c r="E136" s="25"/>
      <c r="F136" s="25"/>
      <c r="G136" s="25"/>
      <c r="H136" s="25"/>
      <c r="I136" s="25"/>
      <c r="J136" s="25"/>
      <c r="K136" s="25"/>
      <c r="L136" s="25"/>
      <c r="M136" s="25"/>
      <c r="N136" s="59"/>
      <c r="O136" s="25"/>
      <c r="P136" s="5"/>
    </row>
    <row r="137" spans="1:16" ht="15.6" x14ac:dyDescent="0.3">
      <c r="A137" s="6"/>
      <c r="B137" s="114" t="s">
        <v>22</v>
      </c>
      <c r="C137" s="8"/>
      <c r="D137" s="8"/>
      <c r="E137" s="8"/>
      <c r="F137" s="8"/>
      <c r="G137" s="8"/>
      <c r="H137" s="8"/>
      <c r="I137" s="8"/>
      <c r="J137" s="8"/>
      <c r="K137" s="8"/>
      <c r="L137" s="8"/>
      <c r="M137" s="8"/>
      <c r="N137" s="51"/>
      <c r="O137" s="8"/>
      <c r="P137" s="5"/>
    </row>
    <row r="138" spans="1:16" ht="15.6" x14ac:dyDescent="0.3">
      <c r="A138" s="24"/>
      <c r="B138" s="25" t="s">
        <v>44</v>
      </c>
      <c r="C138" s="25"/>
      <c r="D138" s="25"/>
      <c r="E138" s="25"/>
      <c r="F138" s="25"/>
      <c r="G138" s="25"/>
      <c r="H138" s="25"/>
      <c r="I138" s="25"/>
      <c r="J138" s="25"/>
      <c r="K138" s="25"/>
      <c r="L138" s="25"/>
      <c r="M138" s="25"/>
      <c r="N138" s="57" t="s">
        <v>117</v>
      </c>
      <c r="O138" s="25"/>
      <c r="P138" s="5"/>
    </row>
    <row r="139" spans="1:16" ht="15.6" x14ac:dyDescent="0.3">
      <c r="A139" s="24"/>
      <c r="B139" s="25" t="s">
        <v>45</v>
      </c>
      <c r="C139" s="175"/>
      <c r="D139" s="175"/>
      <c r="E139" s="175"/>
      <c r="F139" s="175"/>
      <c r="G139" s="175"/>
      <c r="H139" s="175"/>
      <c r="I139" s="175"/>
      <c r="J139" s="175"/>
      <c r="K139" s="175"/>
      <c r="L139" s="175"/>
      <c r="M139" s="175"/>
      <c r="N139" s="57" t="s">
        <v>117</v>
      </c>
      <c r="O139" s="25"/>
      <c r="P139" s="5"/>
    </row>
    <row r="140" spans="1:16" ht="15.6" x14ac:dyDescent="0.3">
      <c r="A140" s="24"/>
      <c r="B140" s="25" t="s">
        <v>46</v>
      </c>
      <c r="C140" s="25"/>
      <c r="D140" s="25"/>
      <c r="E140" s="25"/>
      <c r="F140" s="25"/>
      <c r="G140" s="25"/>
      <c r="H140" s="25"/>
      <c r="I140" s="25"/>
      <c r="J140" s="25"/>
      <c r="K140" s="25"/>
      <c r="L140" s="25"/>
      <c r="M140" s="25"/>
      <c r="N140" s="57" t="s">
        <v>117</v>
      </c>
      <c r="O140" s="25"/>
      <c r="P140" s="5"/>
    </row>
    <row r="141" spans="1:16" ht="15.6" x14ac:dyDescent="0.3">
      <c r="A141" s="24"/>
      <c r="B141" s="25" t="s">
        <v>47</v>
      </c>
      <c r="C141" s="25"/>
      <c r="D141" s="25"/>
      <c r="E141" s="25"/>
      <c r="F141" s="25"/>
      <c r="G141" s="25"/>
      <c r="H141" s="25"/>
      <c r="I141" s="25"/>
      <c r="J141" s="25"/>
      <c r="K141" s="25"/>
      <c r="L141" s="25"/>
      <c r="M141" s="25"/>
      <c r="N141" s="57" t="s">
        <v>117</v>
      </c>
      <c r="O141" s="25"/>
      <c r="P141" s="5"/>
    </row>
    <row r="142" spans="1:16" ht="15.6" x14ac:dyDescent="0.3">
      <c r="A142" s="24"/>
      <c r="B142" s="25"/>
      <c r="C142" s="25"/>
      <c r="D142" s="25"/>
      <c r="E142" s="25"/>
      <c r="F142" s="25"/>
      <c r="G142" s="25"/>
      <c r="H142" s="25"/>
      <c r="I142" s="25"/>
      <c r="J142" s="25"/>
      <c r="K142" s="25"/>
      <c r="L142" s="25"/>
      <c r="M142" s="25"/>
      <c r="N142" s="59"/>
      <c r="O142" s="25"/>
      <c r="P142" s="5"/>
    </row>
    <row r="143" spans="1:16" ht="15.6" x14ac:dyDescent="0.3">
      <c r="A143" s="6"/>
      <c r="B143" s="114" t="s">
        <v>48</v>
      </c>
      <c r="C143" s="8"/>
      <c r="D143" s="8"/>
      <c r="E143" s="8"/>
      <c r="F143" s="8"/>
      <c r="G143" s="8"/>
      <c r="H143" s="8"/>
      <c r="I143" s="8"/>
      <c r="J143" s="8"/>
      <c r="K143" s="8"/>
      <c r="L143" s="8"/>
      <c r="M143" s="8"/>
      <c r="N143" s="61"/>
      <c r="O143" s="8"/>
      <c r="P143" s="5"/>
    </row>
    <row r="144" spans="1:16" ht="15.6" x14ac:dyDescent="0.3">
      <c r="A144" s="24"/>
      <c r="B144" s="25" t="s">
        <v>49</v>
      </c>
      <c r="C144" s="25"/>
      <c r="D144" s="25"/>
      <c r="E144" s="25"/>
      <c r="F144" s="25"/>
      <c r="G144" s="25"/>
      <c r="H144" s="25"/>
      <c r="I144" s="25"/>
      <c r="J144" s="25"/>
      <c r="K144" s="25"/>
      <c r="L144" s="25"/>
      <c r="M144" s="25"/>
      <c r="N144" s="52">
        <v>0</v>
      </c>
      <c r="O144" s="25"/>
      <c r="P144" s="5"/>
    </row>
    <row r="145" spans="1:256" ht="15.6" x14ac:dyDescent="0.3">
      <c r="A145" s="24"/>
      <c r="B145" s="25" t="s">
        <v>50</v>
      </c>
      <c r="C145" s="25"/>
      <c r="D145" s="25"/>
      <c r="E145" s="25"/>
      <c r="F145" s="25"/>
      <c r="G145" s="25"/>
      <c r="H145" s="25"/>
      <c r="I145" s="25"/>
      <c r="J145" s="25"/>
      <c r="K145" s="25"/>
      <c r="L145" s="25"/>
      <c r="M145" s="25"/>
      <c r="N145" s="52">
        <v>25</v>
      </c>
      <c r="O145" s="25"/>
      <c r="P145" s="5"/>
    </row>
    <row r="146" spans="1:256" ht="15.6" x14ac:dyDescent="0.3">
      <c r="A146" s="24"/>
      <c r="B146" s="25" t="s">
        <v>51</v>
      </c>
      <c r="C146" s="25"/>
      <c r="D146" s="25"/>
      <c r="E146" s="25"/>
      <c r="F146" s="25"/>
      <c r="G146" s="25"/>
      <c r="H146" s="25"/>
      <c r="I146" s="25"/>
      <c r="J146" s="25"/>
      <c r="K146" s="25"/>
      <c r="L146" s="25"/>
      <c r="M146" s="25"/>
      <c r="N146" s="52">
        <f>N145+N144</f>
        <v>25</v>
      </c>
      <c r="O146" s="25"/>
      <c r="P146" s="5"/>
    </row>
    <row r="147" spans="1:256" ht="15.6" x14ac:dyDescent="0.3">
      <c r="A147" s="24"/>
      <c r="B147" s="25" t="s">
        <v>264</v>
      </c>
      <c r="C147" s="25"/>
      <c r="D147" s="25"/>
      <c r="E147" s="25"/>
      <c r="F147" s="25"/>
      <c r="G147" s="25"/>
      <c r="H147" s="25"/>
      <c r="I147" s="25"/>
      <c r="J147" s="25"/>
      <c r="K147" s="25"/>
      <c r="L147" s="25"/>
      <c r="M147" s="25"/>
      <c r="N147" s="52">
        <v>-25</v>
      </c>
      <c r="O147" s="25"/>
      <c r="P147" s="5"/>
    </row>
    <row r="148" spans="1:256" ht="15.6" x14ac:dyDescent="0.3">
      <c r="A148" s="24"/>
      <c r="B148" s="25" t="s">
        <v>52</v>
      </c>
      <c r="C148" s="25"/>
      <c r="D148" s="25"/>
      <c r="E148" s="25"/>
      <c r="F148" s="25"/>
      <c r="G148" s="25"/>
      <c r="H148" s="25"/>
      <c r="I148" s="25"/>
      <c r="J148" s="25"/>
      <c r="K148" s="25"/>
      <c r="L148" s="25"/>
      <c r="M148" s="25"/>
      <c r="N148" s="52">
        <f>N146+N147</f>
        <v>0</v>
      </c>
      <c r="O148" s="25"/>
      <c r="P148" s="5"/>
    </row>
    <row r="149" spans="1:256" ht="16.2" thickBot="1" x14ac:dyDescent="0.35">
      <c r="A149" s="24"/>
      <c r="B149" s="25"/>
      <c r="C149" s="25"/>
      <c r="D149" s="25"/>
      <c r="E149" s="25"/>
      <c r="F149" s="25"/>
      <c r="G149" s="25"/>
      <c r="H149" s="25"/>
      <c r="I149" s="25"/>
      <c r="J149" s="25"/>
      <c r="K149" s="25"/>
      <c r="L149" s="25"/>
      <c r="M149" s="25"/>
      <c r="N149" s="59"/>
      <c r="O149" s="25"/>
      <c r="P149" s="5"/>
    </row>
    <row r="150" spans="1:256" ht="15.6" x14ac:dyDescent="0.3">
      <c r="A150" s="2"/>
      <c r="B150" s="4"/>
      <c r="C150" s="4"/>
      <c r="D150" s="4"/>
      <c r="E150" s="4"/>
      <c r="F150" s="4"/>
      <c r="G150" s="4"/>
      <c r="H150" s="4"/>
      <c r="I150" s="4"/>
      <c r="J150" s="4"/>
      <c r="K150" s="4"/>
      <c r="L150" s="4"/>
      <c r="M150" s="4"/>
      <c r="N150" s="49"/>
      <c r="O150" s="4"/>
      <c r="P150" s="5"/>
    </row>
    <row r="151" spans="1:256" ht="15.6" x14ac:dyDescent="0.3">
      <c r="A151" s="6"/>
      <c r="B151" s="114" t="s">
        <v>53</v>
      </c>
      <c r="C151" s="8"/>
      <c r="D151" s="8"/>
      <c r="E151" s="8"/>
      <c r="F151" s="8"/>
      <c r="G151" s="8"/>
      <c r="H151" s="8"/>
      <c r="I151" s="8"/>
      <c r="J151" s="8"/>
      <c r="K151" s="8"/>
      <c r="L151" s="8"/>
      <c r="M151" s="8"/>
      <c r="N151" s="51"/>
      <c r="O151" s="8"/>
      <c r="P151" s="5"/>
    </row>
    <row r="152" spans="1:256" ht="15.6" x14ac:dyDescent="0.3">
      <c r="A152" s="6"/>
      <c r="B152" s="21"/>
      <c r="C152" s="8"/>
      <c r="D152" s="8"/>
      <c r="E152" s="8"/>
      <c r="F152" s="8"/>
      <c r="G152" s="8"/>
      <c r="H152" s="8"/>
      <c r="I152" s="8"/>
      <c r="J152" s="8"/>
      <c r="K152" s="8"/>
      <c r="L152" s="8"/>
      <c r="M152" s="8"/>
      <c r="N152" s="51"/>
      <c r="O152" s="8"/>
      <c r="P152" s="5"/>
    </row>
    <row r="153" spans="1:256" ht="15.6" x14ac:dyDescent="0.3">
      <c r="A153" s="24"/>
      <c r="B153" s="25" t="s">
        <v>234</v>
      </c>
      <c r="C153" s="25"/>
      <c r="D153" s="25"/>
      <c r="E153" s="25"/>
      <c r="F153" s="25"/>
      <c r="G153" s="25"/>
      <c r="H153" s="25"/>
      <c r="I153" s="25"/>
      <c r="J153" s="25"/>
      <c r="K153" s="25"/>
      <c r="L153" s="25"/>
      <c r="M153" s="25"/>
      <c r="N153" s="52">
        <f>N57</f>
        <v>131432</v>
      </c>
      <c r="O153" s="25"/>
      <c r="P153" s="5"/>
      <c r="Q153" s="104"/>
    </row>
    <row r="154" spans="1:256" ht="15.6" x14ac:dyDescent="0.3">
      <c r="A154" s="24"/>
      <c r="B154" s="25" t="s">
        <v>54</v>
      </c>
      <c r="C154" s="25"/>
      <c r="D154" s="25"/>
      <c r="E154" s="25"/>
      <c r="F154" s="25"/>
      <c r="G154" s="25"/>
      <c r="H154" s="25"/>
      <c r="I154" s="25"/>
      <c r="J154" s="25"/>
      <c r="K154" s="25"/>
      <c r="L154" s="25"/>
      <c r="M154" s="25"/>
      <c r="N154" s="52">
        <f>N73</f>
        <v>131432</v>
      </c>
      <c r="O154" s="25"/>
      <c r="P154" s="5"/>
    </row>
    <row r="155" spans="1:256" ht="16.2" thickBot="1" x14ac:dyDescent="0.35">
      <c r="A155" s="24"/>
      <c r="B155" s="25"/>
      <c r="C155" s="25"/>
      <c r="D155" s="25"/>
      <c r="E155" s="25"/>
      <c r="F155" s="25"/>
      <c r="G155" s="25"/>
      <c r="H155" s="25"/>
      <c r="I155" s="25"/>
      <c r="J155" s="25"/>
      <c r="K155" s="25"/>
      <c r="L155" s="25"/>
      <c r="M155" s="25"/>
      <c r="N155" s="59"/>
      <c r="O155" s="25"/>
      <c r="P155" s="5"/>
    </row>
    <row r="156" spans="1:256" s="150" customFormat="1" ht="15.6" x14ac:dyDescent="0.3">
      <c r="A156" s="2"/>
      <c r="B156" s="4"/>
      <c r="C156" s="4"/>
      <c r="D156" s="4"/>
      <c r="E156" s="4"/>
      <c r="F156" s="4"/>
      <c r="G156" s="4"/>
      <c r="H156" s="4"/>
      <c r="I156" s="4"/>
      <c r="J156" s="4"/>
      <c r="K156" s="4"/>
      <c r="L156" s="4"/>
      <c r="M156" s="4"/>
      <c r="N156" s="49"/>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s="153" customFormat="1" ht="15.6" x14ac:dyDescent="0.3">
      <c r="A157" s="6"/>
      <c r="B157" s="160" t="s">
        <v>205</v>
      </c>
      <c r="C157" s="151"/>
      <c r="D157" s="151"/>
      <c r="E157" s="151"/>
      <c r="F157" s="151"/>
      <c r="G157" s="151"/>
      <c r="H157" s="151"/>
      <c r="I157" s="151"/>
      <c r="J157" s="151"/>
      <c r="K157" s="151"/>
      <c r="L157" s="151"/>
      <c r="M157" s="151"/>
      <c r="N157" s="152"/>
      <c r="O157" s="151"/>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ht="16.2" thickBot="1" x14ac:dyDescent="0.35">
      <c r="A158" s="6"/>
      <c r="B158" s="151"/>
      <c r="C158" s="151"/>
      <c r="D158" s="151"/>
      <c r="E158" s="151"/>
      <c r="F158" s="151"/>
      <c r="G158" s="151"/>
      <c r="H158" s="151"/>
      <c r="I158" s="151"/>
      <c r="J158" s="151"/>
      <c r="K158" s="151"/>
      <c r="L158" s="151"/>
      <c r="M158" s="151"/>
      <c r="N158" s="152"/>
      <c r="O158" s="151"/>
      <c r="P158" s="5"/>
    </row>
    <row r="159" spans="1:256" s="156" customFormat="1" ht="15.6" x14ac:dyDescent="0.3">
      <c r="A159" s="2"/>
      <c r="B159" s="4" t="s">
        <v>206</v>
      </c>
      <c r="C159" s="4"/>
      <c r="D159" s="4"/>
      <c r="E159" s="4"/>
      <c r="F159" s="4"/>
      <c r="G159" s="4"/>
      <c r="H159" s="4"/>
      <c r="I159" s="4"/>
      <c r="J159" s="4"/>
      <c r="K159" s="4"/>
      <c r="L159" s="4"/>
      <c r="M159" s="4"/>
      <c r="N159" s="185">
        <f>+'May 09'!N162</f>
        <v>518</v>
      </c>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53" customFormat="1" ht="15.6" x14ac:dyDescent="0.3">
      <c r="A160" s="181"/>
      <c r="B160" s="182" t="s">
        <v>207</v>
      </c>
      <c r="C160" s="182"/>
      <c r="D160" s="182"/>
      <c r="E160" s="182"/>
      <c r="F160" s="182"/>
      <c r="G160" s="182"/>
      <c r="H160" s="182"/>
      <c r="I160" s="182"/>
      <c r="J160" s="182"/>
      <c r="K160" s="182"/>
      <c r="L160" s="182"/>
      <c r="M160" s="182"/>
      <c r="N160" s="183">
        <v>10</v>
      </c>
      <c r="O160" s="18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63" customFormat="1" ht="15.6" x14ac:dyDescent="0.3">
      <c r="A161" s="181"/>
      <c r="B161" s="182" t="s">
        <v>208</v>
      </c>
      <c r="C161" s="182"/>
      <c r="D161" s="182"/>
      <c r="E161" s="182"/>
      <c r="F161" s="182"/>
      <c r="G161" s="182"/>
      <c r="H161" s="182"/>
      <c r="I161" s="182"/>
      <c r="J161" s="182"/>
      <c r="K161" s="182"/>
      <c r="L161" s="182"/>
      <c r="M161" s="182"/>
      <c r="N161" s="183">
        <v>5</v>
      </c>
      <c r="O161" s="18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5.6" x14ac:dyDescent="0.3">
      <c r="A162" s="181"/>
      <c r="B162" s="182" t="s">
        <v>217</v>
      </c>
      <c r="C162" s="182"/>
      <c r="D162" s="182"/>
      <c r="E162" s="182"/>
      <c r="F162" s="182"/>
      <c r="G162" s="182"/>
      <c r="H162" s="182"/>
      <c r="I162" s="182"/>
      <c r="J162" s="182"/>
      <c r="K162" s="182"/>
      <c r="L162" s="182"/>
      <c r="M162" s="182"/>
      <c r="N162" s="183">
        <f>N159-N160-N161</f>
        <v>503</v>
      </c>
      <c r="O162" s="18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59" customFormat="1" ht="16.2" thickBot="1" x14ac:dyDescent="0.35">
      <c r="A163" s="6"/>
      <c r="B163" s="151"/>
      <c r="C163" s="151"/>
      <c r="D163" s="151"/>
      <c r="E163" s="151"/>
      <c r="F163" s="151"/>
      <c r="G163" s="151"/>
      <c r="H163" s="151"/>
      <c r="I163" s="151"/>
      <c r="J163" s="151"/>
      <c r="K163" s="151"/>
      <c r="L163" s="151"/>
      <c r="M163" s="151"/>
      <c r="N163" s="165"/>
      <c r="O163" s="151"/>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s="173" customFormat="1" ht="15.6" x14ac:dyDescent="0.3">
      <c r="A164" s="168"/>
      <c r="B164" s="169"/>
      <c r="C164" s="169"/>
      <c r="D164" s="169"/>
      <c r="E164" s="169"/>
      <c r="F164" s="169"/>
      <c r="G164" s="169"/>
      <c r="H164" s="169"/>
      <c r="I164" s="169"/>
      <c r="J164" s="169"/>
      <c r="K164" s="169"/>
      <c r="L164" s="169"/>
      <c r="M164" s="169"/>
      <c r="N164" s="170"/>
      <c r="O164" s="169"/>
      <c r="P164" s="172"/>
    </row>
    <row r="165" spans="1:256" ht="15.6" x14ac:dyDescent="0.3">
      <c r="A165" s="6"/>
      <c r="B165" s="114" t="s">
        <v>55</v>
      </c>
      <c r="C165" s="112"/>
      <c r="D165" s="115"/>
      <c r="E165" s="115"/>
      <c r="F165" s="115"/>
      <c r="G165" s="115"/>
      <c r="H165" s="115"/>
      <c r="I165" s="115"/>
      <c r="J165" s="115"/>
      <c r="K165" s="115" t="s">
        <v>98</v>
      </c>
      <c r="L165" s="115" t="s">
        <v>226</v>
      </c>
      <c r="M165" s="106"/>
      <c r="N165" s="116" t="s">
        <v>114</v>
      </c>
      <c r="O165" s="10"/>
      <c r="P165" s="5"/>
    </row>
    <row r="166" spans="1:256" ht="15.6" x14ac:dyDescent="0.3">
      <c r="A166" s="24"/>
      <c r="B166" s="25" t="s">
        <v>56</v>
      </c>
      <c r="C166" s="25"/>
      <c r="D166" s="25"/>
      <c r="E166" s="25"/>
      <c r="F166" s="25"/>
      <c r="G166" s="25"/>
      <c r="H166" s="25"/>
      <c r="I166" s="25"/>
      <c r="J166" s="25"/>
      <c r="K166" s="52" t="s">
        <v>117</v>
      </c>
      <c r="L166" s="40" t="s">
        <v>117</v>
      </c>
      <c r="M166" s="25"/>
      <c r="N166" s="52"/>
      <c r="O166" s="25"/>
      <c r="P166" s="5"/>
    </row>
    <row r="167" spans="1:256" ht="15.6" x14ac:dyDescent="0.3">
      <c r="A167" s="24"/>
      <c r="B167" s="25" t="s">
        <v>57</v>
      </c>
      <c r="C167" s="25"/>
      <c r="D167" s="25"/>
      <c r="E167" s="25"/>
      <c r="F167" s="25"/>
      <c r="G167" s="25"/>
      <c r="H167" s="25"/>
      <c r="I167" s="25"/>
      <c r="J167" s="25"/>
      <c r="K167" s="52">
        <v>0</v>
      </c>
      <c r="L167" s="52">
        <f>+'May 09'!L169</f>
        <v>9607</v>
      </c>
      <c r="M167" s="25"/>
      <c r="N167" s="52">
        <f>K167+L167</f>
        <v>9607</v>
      </c>
      <c r="O167" s="25"/>
      <c r="P167" s="5"/>
    </row>
    <row r="168" spans="1:256" ht="15.6" x14ac:dyDescent="0.3">
      <c r="A168" s="24"/>
      <c r="B168" s="25" t="s">
        <v>58</v>
      </c>
      <c r="C168" s="25"/>
      <c r="D168" s="25"/>
      <c r="E168" s="25"/>
      <c r="F168" s="25"/>
      <c r="G168" s="25"/>
      <c r="H168" s="25"/>
      <c r="I168" s="25"/>
      <c r="J168" s="25"/>
      <c r="K168" s="34">
        <v>0</v>
      </c>
      <c r="L168" s="34">
        <f>-L108</f>
        <v>625</v>
      </c>
      <c r="M168" s="25"/>
      <c r="N168" s="52">
        <f>K168+L168</f>
        <v>625</v>
      </c>
      <c r="O168" s="25"/>
      <c r="P168" s="5"/>
    </row>
    <row r="169" spans="1:256" ht="15.6" x14ac:dyDescent="0.3">
      <c r="A169" s="24"/>
      <c r="B169" s="25" t="s">
        <v>59</v>
      </c>
      <c r="C169" s="25"/>
      <c r="D169" s="25"/>
      <c r="E169" s="25"/>
      <c r="F169" s="25"/>
      <c r="G169" s="25"/>
      <c r="H169" s="25"/>
      <c r="I169" s="25"/>
      <c r="J169" s="25"/>
      <c r="K169" s="52">
        <f>K167+K168</f>
        <v>0</v>
      </c>
      <c r="L169" s="52">
        <f>L168+L167</f>
        <v>10232</v>
      </c>
      <c r="M169" s="25"/>
      <c r="N169" s="52">
        <f>K169+L169</f>
        <v>10232</v>
      </c>
      <c r="O169" s="25"/>
      <c r="P169" s="5"/>
    </row>
    <row r="170" spans="1:256" ht="15.6" x14ac:dyDescent="0.3">
      <c r="A170" s="24"/>
      <c r="B170" s="25" t="s">
        <v>60</v>
      </c>
      <c r="C170" s="25"/>
      <c r="D170" s="25"/>
      <c r="E170" s="25"/>
      <c r="F170" s="25"/>
      <c r="G170" s="25"/>
      <c r="H170" s="25"/>
      <c r="I170" s="25"/>
      <c r="J170" s="25"/>
      <c r="K170" s="52" t="s">
        <v>117</v>
      </c>
      <c r="L170" s="40" t="s">
        <v>117</v>
      </c>
      <c r="M170" s="25"/>
      <c r="N170" s="52"/>
      <c r="O170" s="25"/>
      <c r="P170" s="5"/>
    </row>
    <row r="171" spans="1:256" ht="16.2" thickBot="1" x14ac:dyDescent="0.35">
      <c r="A171" s="24"/>
      <c r="B171" s="25"/>
      <c r="C171" s="25"/>
      <c r="D171" s="25"/>
      <c r="E171" s="25"/>
      <c r="F171" s="25"/>
      <c r="G171" s="25"/>
      <c r="H171" s="25"/>
      <c r="I171" s="25"/>
      <c r="J171" s="25"/>
      <c r="K171" s="25"/>
      <c r="L171" s="25"/>
      <c r="M171" s="25"/>
      <c r="N171" s="59"/>
      <c r="O171" s="25"/>
      <c r="P171" s="5"/>
    </row>
    <row r="172" spans="1:256" ht="15.6" x14ac:dyDescent="0.3">
      <c r="A172" s="2"/>
      <c r="B172" s="4"/>
      <c r="C172" s="4"/>
      <c r="D172" s="4"/>
      <c r="E172" s="4"/>
      <c r="F172" s="4"/>
      <c r="G172" s="4"/>
      <c r="H172" s="4"/>
      <c r="I172" s="4"/>
      <c r="J172" s="4"/>
      <c r="K172" s="4"/>
      <c r="L172" s="4"/>
      <c r="M172" s="4"/>
      <c r="N172" s="49"/>
      <c r="O172" s="4"/>
      <c r="P172" s="5"/>
    </row>
    <row r="173" spans="1:256" ht="15.6" x14ac:dyDescent="0.3">
      <c r="A173" s="6"/>
      <c r="B173" s="114" t="s">
        <v>61</v>
      </c>
      <c r="C173" s="8"/>
      <c r="D173" s="8"/>
      <c r="E173" s="8"/>
      <c r="F173" s="8"/>
      <c r="G173" s="8"/>
      <c r="H173" s="8"/>
      <c r="I173" s="8"/>
      <c r="J173" s="8"/>
      <c r="K173" s="8"/>
      <c r="L173" s="8"/>
      <c r="M173" s="8"/>
      <c r="N173" s="63"/>
      <c r="O173" s="8"/>
      <c r="P173" s="5"/>
    </row>
    <row r="174" spans="1:256" ht="15.6" x14ac:dyDescent="0.3">
      <c r="A174" s="24"/>
      <c r="B174" s="25" t="s">
        <v>62</v>
      </c>
      <c r="C174" s="25"/>
      <c r="D174" s="25"/>
      <c r="E174" s="25"/>
      <c r="F174" s="25"/>
      <c r="G174" s="25"/>
      <c r="H174" s="25"/>
      <c r="I174" s="25"/>
      <c r="J174" s="25"/>
      <c r="K174" s="25"/>
      <c r="L174" s="25"/>
      <c r="M174" s="25"/>
      <c r="N174" s="57">
        <f>(N88+N90+N91+N92+N93)/-N94</f>
        <v>4.3221476510067118</v>
      </c>
      <c r="O174" s="25" t="s">
        <v>115</v>
      </c>
      <c r="P174" s="5"/>
    </row>
    <row r="175" spans="1:256" ht="15.6" x14ac:dyDescent="0.3">
      <c r="A175" s="24"/>
      <c r="B175" s="25" t="s">
        <v>63</v>
      </c>
      <c r="C175" s="25"/>
      <c r="D175" s="25"/>
      <c r="E175" s="25"/>
      <c r="F175" s="25"/>
      <c r="G175" s="25"/>
      <c r="H175" s="25"/>
      <c r="I175" s="25"/>
      <c r="J175" s="25"/>
      <c r="K175" s="25"/>
      <c r="L175" s="25"/>
      <c r="M175" s="25"/>
      <c r="N175" s="64">
        <v>1.53</v>
      </c>
      <c r="O175" s="25" t="s">
        <v>115</v>
      </c>
      <c r="P175" s="5"/>
    </row>
    <row r="176" spans="1:256" ht="15.6" x14ac:dyDescent="0.3">
      <c r="A176" s="24"/>
      <c r="B176" s="25" t="s">
        <v>64</v>
      </c>
      <c r="C176" s="25"/>
      <c r="D176" s="25"/>
      <c r="E176" s="25"/>
      <c r="F176" s="25"/>
      <c r="G176" s="25"/>
      <c r="H176" s="25"/>
      <c r="I176" s="25"/>
      <c r="J176" s="25"/>
      <c r="K176" s="25"/>
      <c r="L176" s="25"/>
      <c r="M176" s="25"/>
      <c r="N176" s="57">
        <f>(N88+N90+N91+N92+N93+N94)/-N96</f>
        <v>99</v>
      </c>
      <c r="O176" s="25" t="s">
        <v>115</v>
      </c>
      <c r="P176" s="5"/>
    </row>
    <row r="177" spans="1:16" ht="15.6" x14ac:dyDescent="0.3">
      <c r="A177" s="24"/>
      <c r="B177" s="25" t="s">
        <v>65</v>
      </c>
      <c r="C177" s="25"/>
      <c r="D177" s="25"/>
      <c r="E177" s="25"/>
      <c r="F177" s="25"/>
      <c r="G177" s="25"/>
      <c r="H177" s="25"/>
      <c r="I177" s="25"/>
      <c r="J177" s="25"/>
      <c r="K177" s="25"/>
      <c r="L177" s="25"/>
      <c r="M177" s="25"/>
      <c r="N177" s="64">
        <v>25</v>
      </c>
      <c r="O177" s="25" t="s">
        <v>115</v>
      </c>
      <c r="P177" s="5"/>
    </row>
    <row r="178" spans="1:16" ht="15.6" x14ac:dyDescent="0.3">
      <c r="A178" s="24"/>
      <c r="B178" s="25" t="s">
        <v>166</v>
      </c>
      <c r="C178" s="25"/>
      <c r="D178" s="25"/>
      <c r="E178" s="25"/>
      <c r="F178" s="25"/>
      <c r="G178" s="25"/>
      <c r="H178" s="25"/>
      <c r="I178" s="25"/>
      <c r="J178" s="25"/>
      <c r="K178" s="25"/>
      <c r="L178" s="25"/>
      <c r="M178" s="25"/>
      <c r="N178" s="57">
        <f>(N88+N90+N91+N92+N93+N94+N96)/-N97</f>
        <v>91.875</v>
      </c>
      <c r="O178" s="25" t="s">
        <v>115</v>
      </c>
      <c r="P178" s="5"/>
    </row>
    <row r="179" spans="1:16" ht="15.6" x14ac:dyDescent="0.3">
      <c r="A179" s="24"/>
      <c r="B179" s="25" t="s">
        <v>167</v>
      </c>
      <c r="C179" s="25"/>
      <c r="D179" s="25"/>
      <c r="E179" s="25"/>
      <c r="F179" s="25"/>
      <c r="G179" s="25"/>
      <c r="H179" s="25"/>
      <c r="I179" s="25"/>
      <c r="J179" s="25"/>
      <c r="K179" s="25"/>
      <c r="L179" s="25"/>
      <c r="M179" s="25"/>
      <c r="N179" s="64">
        <v>23.48</v>
      </c>
      <c r="O179" s="25" t="s">
        <v>115</v>
      </c>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24"/>
      <c r="B181" s="25"/>
      <c r="C181" s="25"/>
      <c r="D181" s="25"/>
      <c r="E181" s="25"/>
      <c r="F181" s="25"/>
      <c r="G181" s="25"/>
      <c r="H181" s="25"/>
      <c r="I181" s="25"/>
      <c r="J181" s="25"/>
      <c r="K181" s="25"/>
      <c r="L181" s="25"/>
      <c r="M181" s="25"/>
      <c r="N181" s="25"/>
      <c r="O181" s="25"/>
      <c r="P181" s="5"/>
    </row>
    <row r="182" spans="1:16" ht="15.6" x14ac:dyDescent="0.3">
      <c r="A182" s="6"/>
      <c r="B182" s="8"/>
      <c r="C182" s="8"/>
      <c r="D182" s="8"/>
      <c r="E182" s="8"/>
      <c r="F182" s="8"/>
      <c r="G182" s="8"/>
      <c r="H182" s="8"/>
      <c r="I182" s="8"/>
      <c r="J182" s="8"/>
      <c r="K182" s="8"/>
      <c r="L182" s="8"/>
      <c r="M182" s="8"/>
      <c r="N182" s="8"/>
      <c r="O182" s="8"/>
      <c r="P182" s="5"/>
    </row>
    <row r="183" spans="1:16" ht="18" thickBot="1" x14ac:dyDescent="0.35">
      <c r="A183" s="96"/>
      <c r="B183" s="97" t="str">
        <f>B116</f>
        <v>FF7 INVESTOR REPORT QUARTER ENDING AUGUST 2009</v>
      </c>
      <c r="C183" s="177"/>
      <c r="D183" s="177"/>
      <c r="E183" s="177"/>
      <c r="F183" s="177"/>
      <c r="G183" s="177"/>
      <c r="H183" s="177"/>
      <c r="I183" s="177"/>
      <c r="J183" s="177"/>
      <c r="K183" s="177"/>
      <c r="L183" s="177"/>
      <c r="M183" s="177"/>
      <c r="N183" s="177"/>
      <c r="O183" s="178"/>
      <c r="P183" s="5"/>
    </row>
    <row r="184" spans="1:16" ht="15.6" x14ac:dyDescent="0.3">
      <c r="A184" s="65"/>
      <c r="B184" s="58" t="s">
        <v>66</v>
      </c>
      <c r="C184" s="66"/>
      <c r="D184" s="67"/>
      <c r="E184" s="67"/>
      <c r="F184" s="67"/>
      <c r="G184" s="67"/>
      <c r="H184" s="67"/>
      <c r="I184" s="67"/>
      <c r="J184" s="67"/>
      <c r="K184" s="67"/>
      <c r="L184" s="68">
        <v>40053</v>
      </c>
      <c r="M184" s="4"/>
      <c r="N184" s="4"/>
      <c r="O184" s="4"/>
      <c r="P184" s="5"/>
    </row>
    <row r="185" spans="1:16" ht="15.6" x14ac:dyDescent="0.3">
      <c r="A185" s="69"/>
      <c r="B185" s="70"/>
      <c r="C185" s="71"/>
      <c r="D185" s="72"/>
      <c r="E185" s="72"/>
      <c r="F185" s="72"/>
      <c r="G185" s="72"/>
      <c r="H185" s="72"/>
      <c r="I185" s="72"/>
      <c r="J185" s="72"/>
      <c r="K185" s="72"/>
      <c r="L185" s="72"/>
      <c r="M185" s="8"/>
      <c r="N185" s="8"/>
      <c r="O185" s="8"/>
      <c r="P185" s="5"/>
    </row>
    <row r="186" spans="1:16" ht="15.6" x14ac:dyDescent="0.3">
      <c r="A186" s="73"/>
      <c r="B186" s="74" t="s">
        <v>67</v>
      </c>
      <c r="C186" s="75"/>
      <c r="D186" s="62"/>
      <c r="E186" s="62"/>
      <c r="F186" s="62"/>
      <c r="G186" s="62"/>
      <c r="H186" s="62"/>
      <c r="I186" s="62"/>
      <c r="J186" s="62"/>
      <c r="K186" s="62"/>
      <c r="L186" s="76">
        <v>7.2950000000000001E-2</v>
      </c>
      <c r="M186" s="25"/>
      <c r="N186" s="25"/>
      <c r="O186" s="25"/>
      <c r="P186" s="5"/>
    </row>
    <row r="187" spans="1:16" ht="15.6" x14ac:dyDescent="0.3">
      <c r="A187" s="73"/>
      <c r="B187" s="74" t="s">
        <v>213</v>
      </c>
      <c r="C187" s="75"/>
      <c r="D187" s="62"/>
      <c r="E187" s="62"/>
      <c r="F187" s="62"/>
      <c r="G187" s="62"/>
      <c r="H187" s="62"/>
      <c r="I187" s="62"/>
      <c r="J187" s="62"/>
      <c r="K187" s="62"/>
      <c r="L187" s="39">
        <v>5.79E-2</v>
      </c>
      <c r="M187" s="25"/>
      <c r="N187" s="25"/>
      <c r="O187" s="25"/>
      <c r="P187" s="5"/>
    </row>
    <row r="188" spans="1:16" ht="15.6" x14ac:dyDescent="0.3">
      <c r="A188" s="73"/>
      <c r="B188" s="74" t="s">
        <v>68</v>
      </c>
      <c r="C188" s="75"/>
      <c r="D188" s="62"/>
      <c r="E188" s="62"/>
      <c r="F188" s="62"/>
      <c r="G188" s="62"/>
      <c r="H188" s="62"/>
      <c r="I188" s="62"/>
      <c r="J188" s="62"/>
      <c r="K188" s="62"/>
      <c r="L188" s="76">
        <f>L186-L187</f>
        <v>1.5050000000000001E-2</v>
      </c>
      <c r="M188" s="25"/>
      <c r="N188" s="25"/>
      <c r="O188" s="25"/>
      <c r="P188" s="5"/>
    </row>
    <row r="189" spans="1:16" ht="15.6" x14ac:dyDescent="0.3">
      <c r="A189" s="73"/>
      <c r="B189" s="74" t="s">
        <v>69</v>
      </c>
      <c r="C189" s="75"/>
      <c r="D189" s="62"/>
      <c r="E189" s="62"/>
      <c r="F189" s="62"/>
      <c r="G189" s="62"/>
      <c r="H189" s="62"/>
      <c r="I189" s="62"/>
      <c r="J189" s="62"/>
      <c r="K189" s="62"/>
      <c r="L189" s="76">
        <v>5.3990000000000003E-2</v>
      </c>
      <c r="M189" s="25"/>
      <c r="N189" s="25"/>
      <c r="O189" s="25"/>
      <c r="P189" s="5"/>
    </row>
    <row r="190" spans="1:16" ht="15.6" x14ac:dyDescent="0.3">
      <c r="A190" s="73"/>
      <c r="B190" s="74" t="s">
        <v>212</v>
      </c>
      <c r="C190" s="75"/>
      <c r="D190" s="62"/>
      <c r="E190" s="62"/>
      <c r="F190" s="62"/>
      <c r="G190" s="62"/>
      <c r="H190" s="62"/>
      <c r="I190" s="62"/>
      <c r="J190" s="62"/>
      <c r="K190" s="62"/>
      <c r="L190" s="76">
        <f>N34</f>
        <v>1.3783603713182071E-2</v>
      </c>
      <c r="M190" s="25"/>
      <c r="N190" s="25"/>
      <c r="O190" s="25"/>
      <c r="P190" s="5"/>
    </row>
    <row r="191" spans="1:16" ht="15.6" x14ac:dyDescent="0.3">
      <c r="A191" s="73"/>
      <c r="B191" s="74" t="s">
        <v>70</v>
      </c>
      <c r="C191" s="75"/>
      <c r="D191" s="62"/>
      <c r="E191" s="62"/>
      <c r="F191" s="62"/>
      <c r="G191" s="62"/>
      <c r="H191" s="62"/>
      <c r="I191" s="62"/>
      <c r="J191" s="62"/>
      <c r="K191" s="62"/>
      <c r="L191" s="76">
        <f>L189-L190</f>
        <v>4.0206396286817936E-2</v>
      </c>
      <c r="M191" s="25"/>
      <c r="N191" s="25"/>
      <c r="O191" s="25"/>
      <c r="P191" s="5"/>
    </row>
    <row r="192" spans="1:16" ht="15.6" x14ac:dyDescent="0.3">
      <c r="A192" s="73"/>
      <c r="B192" s="74" t="s">
        <v>203</v>
      </c>
      <c r="C192" s="75"/>
      <c r="D192" s="62"/>
      <c r="E192" s="62"/>
      <c r="F192" s="62"/>
      <c r="G192" s="62"/>
      <c r="H192" s="62"/>
      <c r="I192" s="62"/>
      <c r="J192" s="62"/>
      <c r="K192" s="62"/>
      <c r="L192" s="76">
        <f>+N88/F60</f>
        <v>1.4513441054996015E-2</v>
      </c>
      <c r="M192" s="25"/>
      <c r="N192" s="25"/>
      <c r="O192" s="25"/>
      <c r="P192" s="5"/>
    </row>
    <row r="193" spans="1:16" ht="15.6" x14ac:dyDescent="0.3">
      <c r="A193" s="73"/>
      <c r="B193" s="74" t="s">
        <v>171</v>
      </c>
      <c r="C193" s="75"/>
      <c r="D193" s="62"/>
      <c r="E193" s="62"/>
      <c r="F193" s="62"/>
      <c r="G193" s="62"/>
      <c r="H193" s="62"/>
      <c r="I193" s="62"/>
      <c r="J193" s="62"/>
      <c r="K193" s="62"/>
      <c r="L193" s="122">
        <v>48823</v>
      </c>
      <c r="M193" s="25"/>
      <c r="N193" s="25"/>
      <c r="O193" s="25"/>
      <c r="P193" s="5"/>
    </row>
    <row r="194" spans="1:16" ht="15.6" x14ac:dyDescent="0.3">
      <c r="A194" s="73"/>
      <c r="B194" s="74" t="s">
        <v>172</v>
      </c>
      <c r="C194" s="75"/>
      <c r="D194" s="62"/>
      <c r="E194" s="62"/>
      <c r="F194" s="62"/>
      <c r="G194" s="62"/>
      <c r="H194" s="62"/>
      <c r="I194" s="62"/>
      <c r="J194" s="62"/>
      <c r="K194" s="62"/>
      <c r="L194" s="122">
        <v>48823</v>
      </c>
      <c r="M194" s="25"/>
      <c r="N194" s="25"/>
      <c r="O194" s="25"/>
      <c r="P194" s="5"/>
    </row>
    <row r="195" spans="1:16" ht="15.6" x14ac:dyDescent="0.3">
      <c r="A195" s="73"/>
      <c r="B195" s="74" t="s">
        <v>173</v>
      </c>
      <c r="C195" s="75"/>
      <c r="D195" s="62"/>
      <c r="E195" s="62"/>
      <c r="F195" s="62"/>
      <c r="G195" s="62"/>
      <c r="H195" s="62"/>
      <c r="I195" s="62"/>
      <c r="J195" s="62"/>
      <c r="K195" s="62"/>
      <c r="L195" s="122">
        <v>48823</v>
      </c>
      <c r="M195" s="25"/>
      <c r="N195" s="25"/>
      <c r="O195" s="25"/>
      <c r="P195" s="5"/>
    </row>
    <row r="196" spans="1:16" ht="15.6" x14ac:dyDescent="0.3">
      <c r="A196" s="73"/>
      <c r="B196" s="74" t="s">
        <v>71</v>
      </c>
      <c r="C196" s="75"/>
      <c r="D196" s="62"/>
      <c r="E196" s="62"/>
      <c r="F196" s="62"/>
      <c r="G196" s="62"/>
      <c r="H196" s="62"/>
      <c r="I196" s="62"/>
      <c r="J196" s="62"/>
      <c r="K196" s="62"/>
      <c r="L196" s="126">
        <v>9.93</v>
      </c>
      <c r="M196" s="25" t="s">
        <v>110</v>
      </c>
      <c r="N196" s="25"/>
      <c r="O196" s="25"/>
      <c r="P196" s="5"/>
    </row>
    <row r="197" spans="1:16" ht="15.6" x14ac:dyDescent="0.3">
      <c r="A197" s="73"/>
      <c r="B197" s="74" t="s">
        <v>72</v>
      </c>
      <c r="C197" s="75"/>
      <c r="D197" s="62"/>
      <c r="E197" s="62"/>
      <c r="F197" s="62"/>
      <c r="G197" s="62"/>
      <c r="H197" s="62"/>
      <c r="I197" s="62"/>
      <c r="J197" s="62"/>
      <c r="K197" s="62"/>
      <c r="L197" s="126">
        <v>7.05</v>
      </c>
      <c r="M197" s="25" t="s">
        <v>110</v>
      </c>
      <c r="N197" s="25"/>
      <c r="O197" s="25"/>
      <c r="P197" s="5"/>
    </row>
    <row r="198" spans="1:16" ht="15.6" x14ac:dyDescent="0.3">
      <c r="A198" s="73"/>
      <c r="B198" s="74" t="s">
        <v>73</v>
      </c>
      <c r="C198" s="75"/>
      <c r="D198" s="62"/>
      <c r="E198" s="62"/>
      <c r="F198" s="62"/>
      <c r="G198" s="62"/>
      <c r="H198" s="62"/>
      <c r="I198" s="62"/>
      <c r="J198" s="62"/>
      <c r="K198" s="62"/>
      <c r="L198" s="76">
        <f>+H57/F57</f>
        <v>5.9545282634626016E-2</v>
      </c>
      <c r="M198" s="25"/>
      <c r="N198" s="25"/>
      <c r="O198" s="25"/>
      <c r="P198" s="5"/>
    </row>
    <row r="199" spans="1:16" ht="15.6" x14ac:dyDescent="0.3">
      <c r="A199" s="73"/>
      <c r="B199" s="74" t="s">
        <v>74</v>
      </c>
      <c r="C199" s="75"/>
      <c r="D199" s="62"/>
      <c r="E199" s="62"/>
      <c r="F199" s="62"/>
      <c r="G199" s="62"/>
      <c r="H199" s="62"/>
      <c r="I199" s="62"/>
      <c r="J199" s="62"/>
      <c r="K199" s="62"/>
      <c r="L199" s="76">
        <v>0.29920000000000002</v>
      </c>
      <c r="M199" s="25"/>
      <c r="N199" s="25"/>
      <c r="O199" s="25"/>
      <c r="P199" s="5"/>
    </row>
    <row r="200" spans="1:16" ht="15.6" x14ac:dyDescent="0.3">
      <c r="A200" s="73"/>
      <c r="B200" s="74"/>
      <c r="C200" s="74"/>
      <c r="D200" s="25"/>
      <c r="E200" s="25"/>
      <c r="F200" s="25"/>
      <c r="G200" s="25"/>
      <c r="H200" s="25"/>
      <c r="I200" s="25"/>
      <c r="J200" s="25"/>
      <c r="K200" s="25"/>
      <c r="L200" s="59"/>
      <c r="M200" s="25"/>
      <c r="N200" s="77"/>
      <c r="O200" s="25"/>
      <c r="P200" s="5"/>
    </row>
    <row r="201" spans="1:16" ht="15.6" x14ac:dyDescent="0.3">
      <c r="A201" s="78"/>
      <c r="B201" s="14" t="s">
        <v>75</v>
      </c>
      <c r="C201" s="79"/>
      <c r="D201" s="17"/>
      <c r="E201" s="17"/>
      <c r="F201" s="17"/>
      <c r="G201" s="17"/>
      <c r="H201" s="17"/>
      <c r="I201" s="17"/>
      <c r="J201" s="17"/>
      <c r="K201" s="17" t="s">
        <v>99</v>
      </c>
      <c r="L201" s="80" t="s">
        <v>106</v>
      </c>
      <c r="M201" s="8"/>
      <c r="N201" s="8"/>
      <c r="O201" s="8"/>
      <c r="P201" s="5"/>
    </row>
    <row r="202" spans="1:16" ht="15.6" x14ac:dyDescent="0.3">
      <c r="A202" s="81"/>
      <c r="B202" s="74" t="s">
        <v>76</v>
      </c>
      <c r="C202" s="53"/>
      <c r="D202" s="30"/>
      <c r="E202" s="30"/>
      <c r="F202" s="30"/>
      <c r="G202" s="30"/>
      <c r="H202" s="30"/>
      <c r="I202" s="30"/>
      <c r="J202" s="30"/>
      <c r="K202" s="30">
        <v>21</v>
      </c>
      <c r="L202" s="82">
        <v>1897</v>
      </c>
      <c r="M202" s="25"/>
      <c r="N202" s="77"/>
      <c r="O202" s="83"/>
      <c r="P202" s="5"/>
    </row>
    <row r="203" spans="1:16" ht="15.6" x14ac:dyDescent="0.3">
      <c r="A203" s="81"/>
      <c r="B203" s="74" t="s">
        <v>136</v>
      </c>
      <c r="C203" s="53"/>
      <c r="D203" s="30"/>
      <c r="E203" s="30"/>
      <c r="F203" s="30"/>
      <c r="G203" s="30"/>
      <c r="H203" s="30"/>
      <c r="I203" s="30"/>
      <c r="J203" s="30"/>
      <c r="K203" s="142">
        <f>+J253</f>
        <v>2</v>
      </c>
      <c r="L203" s="82">
        <f>+L253</f>
        <v>133</v>
      </c>
      <c r="M203" s="25"/>
      <c r="N203" s="77"/>
      <c r="O203" s="83"/>
      <c r="P203" s="5"/>
    </row>
    <row r="204" spans="1:16" ht="15.6" x14ac:dyDescent="0.3">
      <c r="A204" s="81"/>
      <c r="B204" s="74" t="s">
        <v>77</v>
      </c>
      <c r="C204" s="53"/>
      <c r="D204" s="30"/>
      <c r="E204" s="30"/>
      <c r="F204" s="30"/>
      <c r="G204" s="30"/>
      <c r="H204" s="30"/>
      <c r="I204" s="30"/>
      <c r="J204" s="30"/>
      <c r="K204" s="142">
        <v>0</v>
      </c>
      <c r="L204" s="82">
        <v>0</v>
      </c>
      <c r="M204" s="25"/>
      <c r="N204" s="77"/>
      <c r="O204" s="83"/>
      <c r="P204" s="5"/>
    </row>
    <row r="205" spans="1:16" ht="15.6" x14ac:dyDescent="0.3">
      <c r="A205" s="81"/>
      <c r="B205" s="117" t="s">
        <v>78</v>
      </c>
      <c r="C205" s="53"/>
      <c r="D205" s="25"/>
      <c r="E205" s="25"/>
      <c r="F205" s="25"/>
      <c r="G205" s="25"/>
      <c r="H205" s="25"/>
      <c r="I205" s="25"/>
      <c r="J205" s="25"/>
      <c r="K205" s="25"/>
      <c r="L205" s="82">
        <v>0</v>
      </c>
      <c r="M205" s="25"/>
      <c r="N205" s="77"/>
      <c r="O205" s="83"/>
      <c r="P205" s="5"/>
    </row>
    <row r="206" spans="1:16" ht="15.6" x14ac:dyDescent="0.3">
      <c r="A206" s="81"/>
      <c r="B206" s="117" t="s">
        <v>79</v>
      </c>
      <c r="C206" s="53"/>
      <c r="D206" s="25"/>
      <c r="E206" s="25"/>
      <c r="F206" s="25"/>
      <c r="G206" s="25"/>
      <c r="H206" s="25"/>
      <c r="I206" s="25"/>
      <c r="J206" s="25"/>
      <c r="K206" s="25"/>
      <c r="L206" s="60" t="s">
        <v>107</v>
      </c>
      <c r="M206" s="25"/>
      <c r="N206" s="77"/>
      <c r="O206" s="83"/>
      <c r="P206" s="5"/>
    </row>
    <row r="207" spans="1:16" ht="15.6" x14ac:dyDescent="0.3">
      <c r="A207" s="84"/>
      <c r="B207" s="117" t="s">
        <v>80</v>
      </c>
      <c r="C207" s="74"/>
      <c r="D207" s="25"/>
      <c r="E207" s="25"/>
      <c r="F207" s="25"/>
      <c r="G207" s="25"/>
      <c r="H207" s="25"/>
      <c r="I207" s="25"/>
      <c r="J207" s="25"/>
      <c r="K207" s="25"/>
      <c r="L207" s="82"/>
      <c r="M207" s="25"/>
      <c r="N207" s="77"/>
      <c r="O207" s="85"/>
      <c r="P207" s="5"/>
    </row>
    <row r="208" spans="1:16" ht="15.6" x14ac:dyDescent="0.3">
      <c r="A208" s="84"/>
      <c r="B208" s="124" t="s">
        <v>81</v>
      </c>
      <c r="C208" s="74"/>
      <c r="D208" s="25"/>
      <c r="E208" s="25"/>
      <c r="F208" s="25"/>
      <c r="G208" s="25"/>
      <c r="H208" s="25"/>
      <c r="I208" s="25"/>
      <c r="J208" s="25"/>
      <c r="K208" s="30"/>
      <c r="L208" s="82">
        <f>N145</f>
        <v>25</v>
      </c>
      <c r="M208" s="25"/>
      <c r="N208" s="77"/>
      <c r="O208" s="85"/>
      <c r="P208" s="5"/>
    </row>
    <row r="209" spans="1:17" ht="15.6" x14ac:dyDescent="0.3">
      <c r="A209" s="81"/>
      <c r="B209" s="74" t="s">
        <v>82</v>
      </c>
      <c r="C209" s="53"/>
      <c r="D209" s="25"/>
      <c r="E209" s="25"/>
      <c r="F209" s="25"/>
      <c r="G209" s="25"/>
      <c r="H209" s="25"/>
      <c r="I209" s="25"/>
      <c r="J209" s="25"/>
      <c r="K209" s="30"/>
      <c r="L209" s="82">
        <f>'May 09'!L209+L208</f>
        <v>54</v>
      </c>
      <c r="M209" s="25"/>
      <c r="N209" s="77"/>
      <c r="O209" s="85"/>
      <c r="P209" s="5"/>
    </row>
    <row r="210" spans="1:17" ht="15.6" x14ac:dyDescent="0.3">
      <c r="A210" s="84"/>
      <c r="B210" s="117" t="s">
        <v>253</v>
      </c>
      <c r="C210" s="74"/>
      <c r="D210" s="25"/>
      <c r="E210" s="25"/>
      <c r="F210" s="25"/>
      <c r="G210" s="25"/>
      <c r="H210" s="25"/>
      <c r="I210" s="25"/>
      <c r="J210" s="25"/>
      <c r="K210" s="30"/>
      <c r="L210" s="82"/>
      <c r="M210" s="25"/>
      <c r="N210" s="77"/>
      <c r="O210" s="85"/>
      <c r="P210" s="5"/>
    </row>
    <row r="211" spans="1:17" ht="15.6" x14ac:dyDescent="0.3">
      <c r="A211" s="84"/>
      <c r="B211" s="74" t="s">
        <v>250</v>
      </c>
      <c r="C211" s="74"/>
      <c r="D211" s="25"/>
      <c r="E211" s="25"/>
      <c r="F211" s="25"/>
      <c r="G211" s="25"/>
      <c r="H211" s="25"/>
      <c r="I211" s="25"/>
      <c r="J211" s="25"/>
      <c r="K211" s="30">
        <v>3</v>
      </c>
      <c r="L211" s="82">
        <v>183</v>
      </c>
      <c r="M211" s="25"/>
      <c r="N211" s="77"/>
      <c r="O211" s="85"/>
      <c r="P211" s="5"/>
    </row>
    <row r="212" spans="1:17" ht="15.6" x14ac:dyDescent="0.3">
      <c r="A212" s="81"/>
      <c r="B212" s="74" t="s">
        <v>83</v>
      </c>
      <c r="C212" s="86"/>
      <c r="D212" s="25"/>
      <c r="E212" s="25"/>
      <c r="F212" s="25"/>
      <c r="G212" s="25"/>
      <c r="H212" s="25"/>
      <c r="I212" s="25"/>
      <c r="J212" s="25"/>
      <c r="K212" s="25"/>
      <c r="L212" s="60">
        <v>22.58</v>
      </c>
      <c r="M212" s="25"/>
      <c r="N212" s="77"/>
      <c r="O212" s="85"/>
      <c r="P212" s="5"/>
    </row>
    <row r="213" spans="1:17" ht="15.6" x14ac:dyDescent="0.3">
      <c r="A213" s="81"/>
      <c r="B213" s="74" t="s">
        <v>84</v>
      </c>
      <c r="C213" s="86"/>
      <c r="D213" s="25"/>
      <c r="E213" s="25"/>
      <c r="F213" s="25"/>
      <c r="G213" s="25"/>
      <c r="H213" s="25"/>
      <c r="I213" s="25"/>
      <c r="J213" s="25"/>
      <c r="K213" s="25"/>
      <c r="L213" s="60">
        <v>7.53</v>
      </c>
      <c r="M213" s="25"/>
      <c r="N213" s="77"/>
      <c r="O213" s="85"/>
      <c r="P213" s="5"/>
    </row>
    <row r="214" spans="1:17" ht="15.6" x14ac:dyDescent="0.3">
      <c r="A214" s="81"/>
      <c r="B214" s="117" t="s">
        <v>177</v>
      </c>
      <c r="C214" s="86"/>
      <c r="D214" s="25"/>
      <c r="E214" s="25"/>
      <c r="F214" s="25"/>
      <c r="G214" s="25"/>
      <c r="H214" s="25"/>
      <c r="I214" s="25"/>
      <c r="J214" s="25"/>
      <c r="K214" s="25"/>
      <c r="L214" s="87"/>
      <c r="M214" s="25"/>
      <c r="N214" s="77"/>
      <c r="O214" s="85"/>
      <c r="P214" s="5"/>
    </row>
    <row r="215" spans="1:17" ht="15.6" x14ac:dyDescent="0.3">
      <c r="A215" s="81"/>
      <c r="B215" s="74" t="s">
        <v>250</v>
      </c>
      <c r="C215" s="86"/>
      <c r="D215" s="25"/>
      <c r="E215" s="25"/>
      <c r="F215" s="25"/>
      <c r="G215" s="25"/>
      <c r="H215" s="25"/>
      <c r="I215" s="25"/>
      <c r="J215" s="25"/>
      <c r="K215" s="30">
        <v>0</v>
      </c>
      <c r="L215" s="82">
        <v>0</v>
      </c>
      <c r="M215" s="25"/>
      <c r="N215" s="77"/>
      <c r="O215" s="85"/>
      <c r="P215" s="5"/>
    </row>
    <row r="216" spans="1:17" ht="15.6" x14ac:dyDescent="0.3">
      <c r="A216" s="81"/>
      <c r="B216" s="74" t="s">
        <v>178</v>
      </c>
      <c r="C216" s="86"/>
      <c r="D216" s="25"/>
      <c r="E216" s="25"/>
      <c r="F216" s="25"/>
      <c r="G216" s="25"/>
      <c r="H216" s="25"/>
      <c r="I216" s="25"/>
      <c r="J216" s="25"/>
      <c r="K216" s="25"/>
      <c r="L216" s="60">
        <v>0</v>
      </c>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5.6" x14ac:dyDescent="0.3">
      <c r="A218" s="81"/>
      <c r="B218" s="74"/>
      <c r="C218" s="86"/>
      <c r="D218" s="25"/>
      <c r="E218" s="25"/>
      <c r="F218" s="25"/>
      <c r="G218" s="25"/>
      <c r="H218" s="25"/>
      <c r="I218" s="25"/>
      <c r="J218" s="25"/>
      <c r="K218" s="25"/>
      <c r="L218" s="87"/>
      <c r="M218" s="25"/>
      <c r="N218" s="77"/>
      <c r="O218" s="85"/>
      <c r="P218" s="5"/>
    </row>
    <row r="219" spans="1:17" ht="17.399999999999999" x14ac:dyDescent="0.3">
      <c r="A219" s="81"/>
      <c r="B219" s="140" t="s">
        <v>238</v>
      </c>
      <c r="C219" s="86"/>
      <c r="D219" s="25"/>
      <c r="E219" s="25"/>
      <c r="F219" s="25"/>
      <c r="G219" s="25"/>
      <c r="H219" s="180" t="s">
        <v>237</v>
      </c>
      <c r="I219" s="25"/>
      <c r="J219" s="25"/>
      <c r="K219" s="25"/>
      <c r="L219" s="87"/>
      <c r="M219" s="25"/>
      <c r="N219" s="77"/>
      <c r="O219" s="85"/>
      <c r="P219" s="5"/>
    </row>
    <row r="220" spans="1:17" ht="15.6" x14ac:dyDescent="0.3">
      <c r="A220" s="81"/>
      <c r="B220" s="74"/>
      <c r="C220" s="86"/>
      <c r="D220" s="25"/>
      <c r="E220" s="25"/>
      <c r="F220" s="25"/>
      <c r="G220" s="25"/>
      <c r="H220" s="25"/>
      <c r="I220" s="25"/>
      <c r="J220" s="25"/>
      <c r="K220" s="25"/>
      <c r="L220" s="87"/>
      <c r="M220" s="25"/>
      <c r="N220" s="77"/>
      <c r="O220" s="85"/>
      <c r="P220" s="5"/>
    </row>
    <row r="221" spans="1:17" ht="15.6" x14ac:dyDescent="0.3">
      <c r="A221" s="6"/>
      <c r="B221" s="14" t="s">
        <v>149</v>
      </c>
      <c r="C221" s="79"/>
      <c r="D221" s="17"/>
      <c r="E221" s="17"/>
      <c r="F221" s="17"/>
      <c r="G221" s="17"/>
      <c r="H221" s="17"/>
      <c r="I221" s="17"/>
      <c r="J221" s="80" t="s">
        <v>99</v>
      </c>
      <c r="K221" s="17" t="s">
        <v>100</v>
      </c>
      <c r="L221" s="80" t="s">
        <v>108</v>
      </c>
      <c r="M221" s="17" t="s">
        <v>100</v>
      </c>
      <c r="N221" s="8"/>
      <c r="O221" s="88"/>
      <c r="P221" s="5"/>
    </row>
    <row r="222" spans="1:17" ht="15.6" x14ac:dyDescent="0.3">
      <c r="A222" s="24"/>
      <c r="B222" s="53" t="s">
        <v>85</v>
      </c>
      <c r="C222" s="89"/>
      <c r="D222" s="89"/>
      <c r="E222" s="89"/>
      <c r="F222" s="89"/>
      <c r="G222" s="89"/>
      <c r="H222" s="89"/>
      <c r="I222" s="89"/>
      <c r="J222" s="53">
        <v>2990</v>
      </c>
      <c r="K222" s="90">
        <f t="shared" ref="K222:K234" si="1">J222/$J$236</f>
        <v>0.93789209535759099</v>
      </c>
      <c r="L222" s="52">
        <v>119232</v>
      </c>
      <c r="M222" s="125">
        <f t="shared" ref="M222:M234" si="2">L222/$L$236</f>
        <v>0.90809526348258551</v>
      </c>
      <c r="N222" s="77"/>
      <c r="O222" s="85"/>
      <c r="P222" s="5"/>
    </row>
    <row r="223" spans="1:17" ht="15.6" x14ac:dyDescent="0.3">
      <c r="A223" s="24"/>
      <c r="B223" s="53" t="s">
        <v>86</v>
      </c>
      <c r="C223" s="89"/>
      <c r="D223" s="89"/>
      <c r="E223" s="89"/>
      <c r="F223" s="89"/>
      <c r="G223" s="89"/>
      <c r="H223" s="89"/>
      <c r="I223" s="89"/>
      <c r="J223" s="53">
        <v>56</v>
      </c>
      <c r="K223" s="90">
        <f t="shared" si="1"/>
        <v>1.7565872020075281E-2</v>
      </c>
      <c r="L223" s="52">
        <v>3151</v>
      </c>
      <c r="M223" s="125">
        <f t="shared" si="2"/>
        <v>2.3998659548054441E-2</v>
      </c>
      <c r="N223" s="77"/>
      <c r="O223" s="85"/>
      <c r="P223" s="5"/>
      <c r="Q223" s="104"/>
    </row>
    <row r="224" spans="1:17" ht="15.6" x14ac:dyDescent="0.3">
      <c r="A224" s="24"/>
      <c r="B224" s="53" t="s">
        <v>87</v>
      </c>
      <c r="C224" s="89"/>
      <c r="D224" s="89"/>
      <c r="E224" s="89"/>
      <c r="F224" s="89"/>
      <c r="G224" s="89"/>
      <c r="H224" s="89"/>
      <c r="I224" s="89"/>
      <c r="J224" s="53">
        <v>30</v>
      </c>
      <c r="K224" s="90">
        <f t="shared" si="1"/>
        <v>9.4102885821831864E-3</v>
      </c>
      <c r="L224" s="52">
        <v>1347</v>
      </c>
      <c r="M224" s="125">
        <f t="shared" si="2"/>
        <v>1.0259027106070876E-2</v>
      </c>
      <c r="N224" s="77"/>
      <c r="O224" s="85"/>
      <c r="P224" s="5"/>
    </row>
    <row r="225" spans="1:17" ht="15.6" x14ac:dyDescent="0.3">
      <c r="A225" s="24"/>
      <c r="B225" s="53" t="s">
        <v>145</v>
      </c>
      <c r="C225" s="89"/>
      <c r="D225" s="89"/>
      <c r="E225" s="89"/>
      <c r="F225" s="89"/>
      <c r="G225" s="89"/>
      <c r="H225" s="89"/>
      <c r="I225" s="89"/>
      <c r="J225" s="53">
        <v>26</v>
      </c>
      <c r="K225" s="90">
        <f t="shared" si="1"/>
        <v>8.1555834378920951E-3</v>
      </c>
      <c r="L225" s="52">
        <v>1206</v>
      </c>
      <c r="M225" s="125">
        <f t="shared" si="2"/>
        <v>9.1851423087761525E-3</v>
      </c>
      <c r="N225" s="77"/>
      <c r="O225" s="85"/>
      <c r="P225" s="5"/>
      <c r="Q225" s="104"/>
    </row>
    <row r="226" spans="1:17" ht="15.6" x14ac:dyDescent="0.3">
      <c r="A226" s="24"/>
      <c r="B226" s="53" t="s">
        <v>146</v>
      </c>
      <c r="C226" s="89"/>
      <c r="D226" s="89"/>
      <c r="E226" s="89"/>
      <c r="F226" s="89"/>
      <c r="G226" s="89"/>
      <c r="H226" s="89"/>
      <c r="I226" s="89"/>
      <c r="J226" s="53">
        <v>12</v>
      </c>
      <c r="K226" s="90">
        <f t="shared" si="1"/>
        <v>3.7641154328732747E-3</v>
      </c>
      <c r="L226" s="52">
        <v>830</v>
      </c>
      <c r="M226" s="125">
        <f t="shared" si="2"/>
        <v>6.3214495159902209E-3</v>
      </c>
      <c r="N226" s="77"/>
      <c r="O226" s="85"/>
      <c r="P226" s="5"/>
    </row>
    <row r="227" spans="1:17" ht="15.6" x14ac:dyDescent="0.3">
      <c r="A227" s="24"/>
      <c r="B227" s="53" t="s">
        <v>147</v>
      </c>
      <c r="C227" s="89"/>
      <c r="D227" s="89"/>
      <c r="E227" s="89"/>
      <c r="F227" s="89"/>
      <c r="G227" s="89"/>
      <c r="H227" s="89"/>
      <c r="I227" s="89"/>
      <c r="J227" s="53">
        <v>19</v>
      </c>
      <c r="K227" s="90">
        <f t="shared" si="1"/>
        <v>5.9598494353826853E-3</v>
      </c>
      <c r="L227" s="52">
        <v>1249</v>
      </c>
      <c r="M227" s="125">
        <f t="shared" si="2"/>
        <v>9.5126390909298624E-3</v>
      </c>
      <c r="N227" s="77"/>
      <c r="O227" s="85"/>
      <c r="P227" s="5"/>
      <c r="Q227" s="104"/>
    </row>
    <row r="228" spans="1:17" ht="15.6" x14ac:dyDescent="0.3">
      <c r="A228" s="24"/>
      <c r="B228" s="53" t="s">
        <v>227</v>
      </c>
      <c r="C228" s="89"/>
      <c r="D228" s="89"/>
      <c r="E228" s="89"/>
      <c r="F228" s="89"/>
      <c r="G228" s="89"/>
      <c r="H228" s="89"/>
      <c r="I228" s="89"/>
      <c r="J228" s="53">
        <v>28</v>
      </c>
      <c r="K228" s="90">
        <f t="shared" si="1"/>
        <v>8.7829360100376407E-3</v>
      </c>
      <c r="L228" s="52">
        <v>1590</v>
      </c>
      <c r="M228" s="125">
        <f t="shared" si="2"/>
        <v>1.2109764735451146E-2</v>
      </c>
      <c r="N228" s="77"/>
      <c r="O228" s="85"/>
      <c r="P228" s="5"/>
    </row>
    <row r="229" spans="1:17" ht="15.6" x14ac:dyDescent="0.3">
      <c r="A229" s="24"/>
      <c r="B229" s="53" t="s">
        <v>228</v>
      </c>
      <c r="C229" s="89"/>
      <c r="D229" s="89"/>
      <c r="E229" s="89"/>
      <c r="F229" s="89"/>
      <c r="G229" s="89"/>
      <c r="H229" s="89"/>
      <c r="I229" s="89"/>
      <c r="J229" s="53">
        <v>9</v>
      </c>
      <c r="K229" s="90">
        <f t="shared" si="1"/>
        <v>2.8230865746549563E-3</v>
      </c>
      <c r="L229" s="52">
        <v>383</v>
      </c>
      <c r="M229" s="125">
        <f t="shared" si="2"/>
        <v>2.9170062224388609E-3</v>
      </c>
      <c r="N229" s="77"/>
      <c r="O229" s="85"/>
      <c r="P229" s="5"/>
      <c r="Q229" s="104"/>
    </row>
    <row r="230" spans="1:17" ht="15.6" x14ac:dyDescent="0.3">
      <c r="A230" s="24"/>
      <c r="B230" s="53" t="s">
        <v>229</v>
      </c>
      <c r="C230" s="89"/>
      <c r="D230" s="89"/>
      <c r="E230" s="89"/>
      <c r="F230" s="89"/>
      <c r="G230" s="89"/>
      <c r="H230" s="89"/>
      <c r="I230" s="89"/>
      <c r="J230" s="53">
        <v>6</v>
      </c>
      <c r="K230" s="90">
        <f t="shared" si="1"/>
        <v>1.8820577164366374E-3</v>
      </c>
      <c r="L230" s="52">
        <v>440</v>
      </c>
      <c r="M230" s="125">
        <f t="shared" si="2"/>
        <v>3.3511298638984302E-3</v>
      </c>
      <c r="N230" s="77"/>
      <c r="O230" s="85"/>
      <c r="P230" s="5"/>
      <c r="Q230" s="104"/>
    </row>
    <row r="231" spans="1:17" ht="15.6" x14ac:dyDescent="0.3">
      <c r="A231" s="24"/>
      <c r="B231" s="53" t="s">
        <v>230</v>
      </c>
      <c r="C231" s="89"/>
      <c r="D231" s="89"/>
      <c r="E231" s="89"/>
      <c r="F231" s="89"/>
      <c r="G231" s="89"/>
      <c r="H231" s="89"/>
      <c r="I231" s="89"/>
      <c r="J231" s="53">
        <v>5</v>
      </c>
      <c r="K231" s="90">
        <f t="shared" si="1"/>
        <v>1.5683814303638645E-3</v>
      </c>
      <c r="L231" s="52">
        <v>200</v>
      </c>
      <c r="M231" s="125">
        <f t="shared" si="2"/>
        <v>1.5232408472265592E-3</v>
      </c>
      <c r="N231" s="77"/>
      <c r="O231" s="85"/>
      <c r="P231" s="5"/>
      <c r="Q231" s="104"/>
    </row>
    <row r="232" spans="1:17" ht="15.6" x14ac:dyDescent="0.3">
      <c r="A232" s="24"/>
      <c r="B232" s="53" t="s">
        <v>231</v>
      </c>
      <c r="C232" s="89"/>
      <c r="D232" s="89"/>
      <c r="E232" s="89"/>
      <c r="F232" s="89"/>
      <c r="G232" s="89"/>
      <c r="H232" s="89"/>
      <c r="I232" s="89"/>
      <c r="J232" s="53">
        <v>3</v>
      </c>
      <c r="K232" s="90">
        <f t="shared" si="1"/>
        <v>9.4102885821831868E-4</v>
      </c>
      <c r="L232" s="52">
        <v>1124</v>
      </c>
      <c r="M232" s="125">
        <f t="shared" si="2"/>
        <v>8.560613561413263E-3</v>
      </c>
      <c r="N232" s="77"/>
      <c r="O232" s="85"/>
      <c r="P232" s="5"/>
      <c r="Q232" s="104"/>
    </row>
    <row r="233" spans="1:17" ht="15.6" x14ac:dyDescent="0.3">
      <c r="A233" s="24"/>
      <c r="B233" s="53" t="s">
        <v>232</v>
      </c>
      <c r="C233" s="89"/>
      <c r="D233" s="89"/>
      <c r="E233" s="89"/>
      <c r="F233" s="89"/>
      <c r="G233" s="89"/>
      <c r="H233" s="89"/>
      <c r="I233" s="89"/>
      <c r="J233" s="53">
        <v>1</v>
      </c>
      <c r="K233" s="90">
        <f t="shared" si="1"/>
        <v>3.1367628607277288E-4</v>
      </c>
      <c r="L233" s="52">
        <v>87</v>
      </c>
      <c r="M233" s="125">
        <f t="shared" si="2"/>
        <v>6.6260976854355322E-4</v>
      </c>
      <c r="N233" s="77"/>
      <c r="O233" s="85"/>
      <c r="P233" s="5"/>
      <c r="Q233" s="104"/>
    </row>
    <row r="234" spans="1:17" ht="15.6" x14ac:dyDescent="0.3">
      <c r="A234" s="24"/>
      <c r="B234" s="53" t="s">
        <v>233</v>
      </c>
      <c r="C234" s="89"/>
      <c r="D234" s="89"/>
      <c r="E234" s="89"/>
      <c r="F234" s="89"/>
      <c r="G234" s="89"/>
      <c r="H234" s="89"/>
      <c r="I234" s="89"/>
      <c r="J234" s="53">
        <v>3</v>
      </c>
      <c r="K234" s="90">
        <f t="shared" si="1"/>
        <v>9.4102885821831868E-4</v>
      </c>
      <c r="L234" s="52">
        <v>460</v>
      </c>
      <c r="M234" s="125">
        <f t="shared" si="2"/>
        <v>3.5034539486210863E-3</v>
      </c>
      <c r="N234" s="77"/>
      <c r="O234" s="85"/>
      <c r="P234" s="5"/>
      <c r="Q234" s="104"/>
    </row>
    <row r="235" spans="1:17" ht="15.6" x14ac:dyDescent="0.3">
      <c r="A235" s="24"/>
      <c r="B235" s="53"/>
      <c r="C235" s="89"/>
      <c r="D235" s="89"/>
      <c r="E235" s="89"/>
      <c r="F235" s="89"/>
      <c r="G235" s="89"/>
      <c r="H235" s="89"/>
      <c r="I235" s="89"/>
      <c r="J235" s="53"/>
      <c r="K235" s="90"/>
      <c r="L235" s="52"/>
      <c r="M235" s="125"/>
      <c r="N235" s="77"/>
      <c r="O235" s="85"/>
      <c r="P235" s="5"/>
      <c r="Q235" s="104"/>
    </row>
    <row r="236" spans="1:17" ht="15.6" x14ac:dyDescent="0.3">
      <c r="A236" s="24"/>
      <c r="B236" s="25"/>
      <c r="C236" s="25"/>
      <c r="D236" s="91"/>
      <c r="E236" s="91"/>
      <c r="F236" s="91"/>
      <c r="G236" s="91"/>
      <c r="H236" s="91"/>
      <c r="I236" s="91"/>
      <c r="J236" s="34">
        <f>SUM(J222:J235)</f>
        <v>3188</v>
      </c>
      <c r="K236" s="125">
        <f>SUM(K222:K235)</f>
        <v>1</v>
      </c>
      <c r="L236" s="52">
        <f>SUM(L222:L235)</f>
        <v>131299</v>
      </c>
      <c r="M236" s="125">
        <f>SUM(M222:M235)</f>
        <v>0.99999999999999989</v>
      </c>
      <c r="N236" s="25"/>
      <c r="O236" s="25"/>
      <c r="P236" s="5"/>
    </row>
    <row r="237" spans="1:17" ht="15.6" x14ac:dyDescent="0.3">
      <c r="A237" s="24"/>
      <c r="B237" s="25"/>
      <c r="C237" s="25"/>
      <c r="D237" s="91"/>
      <c r="E237" s="91"/>
      <c r="F237" s="91"/>
      <c r="G237" s="91"/>
      <c r="H237" s="91"/>
      <c r="I237" s="91"/>
      <c r="J237" s="34"/>
      <c r="K237" s="125"/>
      <c r="L237" s="52"/>
      <c r="M237" s="125"/>
      <c r="N237" s="25"/>
      <c r="O237" s="25"/>
      <c r="P237" s="5"/>
    </row>
    <row r="238" spans="1:17" ht="15.6" x14ac:dyDescent="0.3">
      <c r="A238" s="133"/>
      <c r="B238" s="14" t="s">
        <v>204</v>
      </c>
      <c r="C238" s="79"/>
      <c r="D238" s="17"/>
      <c r="E238" s="17"/>
      <c r="F238" s="17"/>
      <c r="G238" s="17"/>
      <c r="H238" s="17"/>
      <c r="I238" s="17"/>
      <c r="J238" s="80" t="s">
        <v>99</v>
      </c>
      <c r="K238" s="17" t="s">
        <v>100</v>
      </c>
      <c r="L238" s="80" t="s">
        <v>108</v>
      </c>
      <c r="M238" s="17" t="s">
        <v>100</v>
      </c>
      <c r="N238" s="131"/>
      <c r="O238" s="132"/>
      <c r="P238" s="5"/>
    </row>
    <row r="239" spans="1:17" ht="15.6" x14ac:dyDescent="0.3">
      <c r="A239" s="24"/>
      <c r="B239" s="53" t="s">
        <v>85</v>
      </c>
      <c r="C239" s="89"/>
      <c r="D239" s="89"/>
      <c r="E239" s="89"/>
      <c r="F239" s="89"/>
      <c r="G239" s="89"/>
      <c r="H239" s="89"/>
      <c r="I239" s="89"/>
      <c r="J239" s="53">
        <v>1</v>
      </c>
      <c r="K239" s="90">
        <f t="shared" ref="K239:K251" si="3">J239/$J$253</f>
        <v>0.5</v>
      </c>
      <c r="L239" s="52">
        <v>23</v>
      </c>
      <c r="M239" s="90">
        <f t="shared" ref="M239:M251" si="4">L239/$L$253</f>
        <v>0.17293233082706766</v>
      </c>
      <c r="N239" s="25"/>
      <c r="O239" s="25"/>
      <c r="P239" s="5"/>
    </row>
    <row r="240" spans="1:17" ht="15.6" x14ac:dyDescent="0.3">
      <c r="A240" s="24"/>
      <c r="B240" s="53" t="s">
        <v>86</v>
      </c>
      <c r="C240" s="89"/>
      <c r="D240" s="89"/>
      <c r="E240" s="89"/>
      <c r="F240" s="89"/>
      <c r="G240" s="89"/>
      <c r="H240" s="89"/>
      <c r="I240" s="89"/>
      <c r="J240" s="53">
        <v>1</v>
      </c>
      <c r="K240" s="90">
        <f t="shared" si="3"/>
        <v>0.5</v>
      </c>
      <c r="L240" s="52">
        <v>110</v>
      </c>
      <c r="M240" s="90">
        <f t="shared" si="4"/>
        <v>0.82706766917293228</v>
      </c>
      <c r="N240" s="25"/>
      <c r="O240" s="25"/>
      <c r="P240" s="5"/>
    </row>
    <row r="241" spans="1:16" ht="15.6" x14ac:dyDescent="0.3">
      <c r="A241" s="24"/>
      <c r="B241" s="53" t="s">
        <v>87</v>
      </c>
      <c r="C241" s="89"/>
      <c r="D241" s="89"/>
      <c r="E241" s="89"/>
      <c r="F241" s="89"/>
      <c r="G241" s="89"/>
      <c r="H241" s="89"/>
      <c r="I241" s="89"/>
      <c r="J241" s="53">
        <v>0</v>
      </c>
      <c r="K241" s="90">
        <f t="shared" si="3"/>
        <v>0</v>
      </c>
      <c r="L241" s="52">
        <v>0</v>
      </c>
      <c r="M241" s="90">
        <f t="shared" si="4"/>
        <v>0</v>
      </c>
      <c r="N241" s="25"/>
      <c r="O241" s="25"/>
      <c r="P241" s="5"/>
    </row>
    <row r="242" spans="1:16" ht="15.6" x14ac:dyDescent="0.3">
      <c r="A242" s="24"/>
      <c r="B242" s="53" t="s">
        <v>145</v>
      </c>
      <c r="C242" s="89"/>
      <c r="D242" s="89"/>
      <c r="E242" s="89"/>
      <c r="F242" s="89"/>
      <c r="G242" s="89"/>
      <c r="H242" s="89"/>
      <c r="I242" s="89"/>
      <c r="J242" s="53">
        <v>0</v>
      </c>
      <c r="K242" s="90">
        <f t="shared" si="3"/>
        <v>0</v>
      </c>
      <c r="L242" s="52">
        <v>0</v>
      </c>
      <c r="M242" s="90">
        <f t="shared" si="4"/>
        <v>0</v>
      </c>
      <c r="N242" s="25"/>
      <c r="O242" s="25"/>
      <c r="P242" s="5"/>
    </row>
    <row r="243" spans="1:16" ht="15.6" x14ac:dyDescent="0.3">
      <c r="A243" s="24"/>
      <c r="B243" s="53" t="s">
        <v>146</v>
      </c>
      <c r="C243" s="89"/>
      <c r="D243" s="89"/>
      <c r="E243" s="89"/>
      <c r="F243" s="89"/>
      <c r="G243" s="89"/>
      <c r="H243" s="89"/>
      <c r="I243" s="89"/>
      <c r="J243" s="53">
        <v>0</v>
      </c>
      <c r="K243" s="90">
        <f t="shared" si="3"/>
        <v>0</v>
      </c>
      <c r="L243" s="52">
        <v>0</v>
      </c>
      <c r="M243" s="90">
        <f t="shared" si="4"/>
        <v>0</v>
      </c>
      <c r="N243" s="25"/>
      <c r="O243" s="25"/>
      <c r="P243" s="5"/>
    </row>
    <row r="244" spans="1:16" ht="15.6" x14ac:dyDescent="0.3">
      <c r="A244" s="24"/>
      <c r="B244" s="53" t="s">
        <v>147</v>
      </c>
      <c r="C244" s="89"/>
      <c r="D244" s="89"/>
      <c r="E244" s="89"/>
      <c r="F244" s="89"/>
      <c r="G244" s="89"/>
      <c r="H244" s="89"/>
      <c r="I244" s="89"/>
      <c r="J244" s="53">
        <v>0</v>
      </c>
      <c r="K244" s="90">
        <f t="shared" si="3"/>
        <v>0</v>
      </c>
      <c r="L244" s="52">
        <v>0</v>
      </c>
      <c r="M244" s="90">
        <f t="shared" si="4"/>
        <v>0</v>
      </c>
      <c r="N244" s="25"/>
      <c r="O244" s="25"/>
      <c r="P244" s="5"/>
    </row>
    <row r="245" spans="1:16" ht="15.6" x14ac:dyDescent="0.3">
      <c r="A245" s="24"/>
      <c r="B245" s="53" t="s">
        <v>227</v>
      </c>
      <c r="C245" s="89"/>
      <c r="D245" s="89"/>
      <c r="E245" s="89"/>
      <c r="F245" s="89"/>
      <c r="G245" s="89"/>
      <c r="H245" s="89"/>
      <c r="I245" s="89"/>
      <c r="J245" s="53">
        <v>0</v>
      </c>
      <c r="K245" s="90">
        <f t="shared" si="3"/>
        <v>0</v>
      </c>
      <c r="L245" s="52">
        <v>0</v>
      </c>
      <c r="M245" s="90">
        <f t="shared" si="4"/>
        <v>0</v>
      </c>
      <c r="N245" s="25"/>
      <c r="O245" s="25"/>
      <c r="P245" s="5"/>
    </row>
    <row r="246" spans="1:16" ht="15.6" x14ac:dyDescent="0.3">
      <c r="A246" s="24"/>
      <c r="B246" s="53" t="s">
        <v>228</v>
      </c>
      <c r="C246" s="89"/>
      <c r="D246" s="89"/>
      <c r="E246" s="89"/>
      <c r="F246" s="89"/>
      <c r="G246" s="89"/>
      <c r="H246" s="89"/>
      <c r="I246" s="89"/>
      <c r="J246" s="53">
        <v>0</v>
      </c>
      <c r="K246" s="90">
        <f t="shared" si="3"/>
        <v>0</v>
      </c>
      <c r="L246" s="52">
        <v>0</v>
      </c>
      <c r="M246" s="90">
        <f t="shared" si="4"/>
        <v>0</v>
      </c>
      <c r="N246" s="25"/>
      <c r="O246" s="25"/>
      <c r="P246" s="5"/>
    </row>
    <row r="247" spans="1:16" ht="15.6" x14ac:dyDescent="0.3">
      <c r="A247" s="24"/>
      <c r="B247" s="53" t="s">
        <v>229</v>
      </c>
      <c r="C247" s="89"/>
      <c r="D247" s="89"/>
      <c r="E247" s="89"/>
      <c r="F247" s="89"/>
      <c r="G247" s="89"/>
      <c r="H247" s="89"/>
      <c r="I247" s="89"/>
      <c r="J247" s="53">
        <v>0</v>
      </c>
      <c r="K247" s="90">
        <f t="shared" si="3"/>
        <v>0</v>
      </c>
      <c r="L247" s="52">
        <v>0</v>
      </c>
      <c r="M247" s="90">
        <f t="shared" si="4"/>
        <v>0</v>
      </c>
      <c r="N247" s="25"/>
      <c r="O247" s="25"/>
      <c r="P247" s="5"/>
    </row>
    <row r="248" spans="1:16" ht="15.6" x14ac:dyDescent="0.3">
      <c r="A248" s="24"/>
      <c r="B248" s="53" t="s">
        <v>230</v>
      </c>
      <c r="C248" s="89"/>
      <c r="D248" s="89"/>
      <c r="E248" s="89"/>
      <c r="F248" s="89"/>
      <c r="G248" s="89"/>
      <c r="H248" s="89"/>
      <c r="I248" s="89"/>
      <c r="J248" s="53">
        <v>0</v>
      </c>
      <c r="K248" s="90">
        <f t="shared" si="3"/>
        <v>0</v>
      </c>
      <c r="L248" s="52">
        <v>0</v>
      </c>
      <c r="M248" s="90">
        <f t="shared" si="4"/>
        <v>0</v>
      </c>
      <c r="N248" s="25"/>
      <c r="O248" s="25"/>
      <c r="P248" s="5"/>
    </row>
    <row r="249" spans="1:16" ht="15.6" x14ac:dyDescent="0.3">
      <c r="A249" s="24"/>
      <c r="B249" s="53" t="s">
        <v>231</v>
      </c>
      <c r="C249" s="89"/>
      <c r="D249" s="89"/>
      <c r="E249" s="89"/>
      <c r="F249" s="89"/>
      <c r="G249" s="89"/>
      <c r="H249" s="89"/>
      <c r="I249" s="89"/>
      <c r="J249" s="53">
        <v>0</v>
      </c>
      <c r="K249" s="90">
        <f t="shared" si="3"/>
        <v>0</v>
      </c>
      <c r="L249" s="52">
        <v>0</v>
      </c>
      <c r="M249" s="90">
        <f t="shared" si="4"/>
        <v>0</v>
      </c>
      <c r="N249" s="25"/>
      <c r="O249" s="25"/>
      <c r="P249" s="5"/>
    </row>
    <row r="250" spans="1:16" ht="15.6" x14ac:dyDescent="0.3">
      <c r="A250" s="24"/>
      <c r="B250" s="53" t="s">
        <v>232</v>
      </c>
      <c r="C250" s="89"/>
      <c r="D250" s="89"/>
      <c r="E250" s="89"/>
      <c r="F250" s="89"/>
      <c r="G250" s="89"/>
      <c r="H250" s="89"/>
      <c r="I250" s="89"/>
      <c r="J250" s="53">
        <v>0</v>
      </c>
      <c r="K250" s="90">
        <f t="shared" si="3"/>
        <v>0</v>
      </c>
      <c r="L250" s="52">
        <v>0</v>
      </c>
      <c r="M250" s="90">
        <f t="shared" si="4"/>
        <v>0</v>
      </c>
      <c r="N250" s="25"/>
      <c r="O250" s="25"/>
      <c r="P250" s="5"/>
    </row>
    <row r="251" spans="1:16" ht="15.6" x14ac:dyDescent="0.3">
      <c r="A251" s="24"/>
      <c r="B251" s="53" t="s">
        <v>233</v>
      </c>
      <c r="C251" s="89"/>
      <c r="D251" s="89"/>
      <c r="E251" s="89"/>
      <c r="F251" s="89"/>
      <c r="G251" s="89"/>
      <c r="H251" s="89"/>
      <c r="I251" s="89"/>
      <c r="J251" s="53">
        <v>0</v>
      </c>
      <c r="K251" s="90">
        <f t="shared" si="3"/>
        <v>0</v>
      </c>
      <c r="L251" s="52">
        <v>0</v>
      </c>
      <c r="M251" s="90">
        <f t="shared" si="4"/>
        <v>0</v>
      </c>
      <c r="N251" s="25"/>
      <c r="O251" s="25"/>
      <c r="P251" s="5"/>
    </row>
    <row r="252" spans="1:16" ht="15.6" x14ac:dyDescent="0.3">
      <c r="A252" s="24"/>
      <c r="B252" s="53"/>
      <c r="C252" s="89"/>
      <c r="D252" s="89"/>
      <c r="E252" s="89"/>
      <c r="F252" s="89"/>
      <c r="G252" s="89"/>
      <c r="H252" s="89"/>
      <c r="I252" s="89"/>
      <c r="J252" s="53"/>
      <c r="K252" s="90"/>
      <c r="L252" s="52"/>
      <c r="M252" s="125"/>
      <c r="N252" s="25"/>
      <c r="O252" s="25"/>
      <c r="P252" s="5"/>
    </row>
    <row r="253" spans="1:16" ht="15.6" x14ac:dyDescent="0.3">
      <c r="A253" s="24"/>
      <c r="B253" s="25"/>
      <c r="C253" s="25"/>
      <c r="D253" s="91"/>
      <c r="E253" s="91"/>
      <c r="F253" s="91"/>
      <c r="G253" s="91"/>
      <c r="H253" s="91"/>
      <c r="I253" s="91"/>
      <c r="J253" s="34">
        <f>SUM(J239:J252)</f>
        <v>2</v>
      </c>
      <c r="K253" s="125">
        <f>SUM(K239:K252)</f>
        <v>1</v>
      </c>
      <c r="L253" s="52">
        <f>SUM(L239:L252)</f>
        <v>133</v>
      </c>
      <c r="M253" s="125">
        <f>SUM(M239:M252)</f>
        <v>1</v>
      </c>
      <c r="N253" s="25"/>
      <c r="O253" s="25"/>
      <c r="P253" s="5"/>
    </row>
    <row r="254" spans="1:16" ht="15.6" x14ac:dyDescent="0.3">
      <c r="A254" s="24"/>
      <c r="B254" s="25"/>
      <c r="C254" s="25"/>
      <c r="D254" s="91"/>
      <c r="E254" s="91"/>
      <c r="F254" s="91"/>
      <c r="G254" s="91"/>
      <c r="H254" s="91"/>
      <c r="I254" s="91"/>
      <c r="J254" s="34"/>
      <c r="K254" s="125"/>
      <c r="L254" s="52"/>
      <c r="M254" s="125"/>
      <c r="N254" s="25"/>
      <c r="O254" s="25"/>
      <c r="P254" s="5"/>
    </row>
    <row r="255" spans="1:16" ht="15.6" x14ac:dyDescent="0.3">
      <c r="A255" s="133"/>
      <c r="B255" s="14" t="s">
        <v>150</v>
      </c>
      <c r="C255" s="131"/>
      <c r="D255" s="137"/>
      <c r="E255" s="137"/>
      <c r="F255" s="137"/>
      <c r="G255" s="137"/>
      <c r="H255" s="137"/>
      <c r="I255" s="137"/>
      <c r="J255" s="80" t="s">
        <v>99</v>
      </c>
      <c r="K255" s="17" t="s">
        <v>100</v>
      </c>
      <c r="L255" s="80" t="s">
        <v>108</v>
      </c>
      <c r="M255" s="17" t="s">
        <v>100</v>
      </c>
      <c r="N255" s="131"/>
      <c r="O255" s="132"/>
      <c r="P255" s="5"/>
    </row>
    <row r="256" spans="1:16" ht="15.6" x14ac:dyDescent="0.3">
      <c r="A256" s="24"/>
      <c r="B256" s="53" t="s">
        <v>85</v>
      </c>
      <c r="C256" s="25"/>
      <c r="D256" s="91"/>
      <c r="E256" s="91"/>
      <c r="F256" s="91"/>
      <c r="G256" s="91"/>
      <c r="H256" s="91"/>
      <c r="I256" s="91"/>
      <c r="J256" s="53">
        <v>0</v>
      </c>
      <c r="K256" s="90">
        <v>0</v>
      </c>
      <c r="L256" s="52">
        <v>0</v>
      </c>
      <c r="M256" s="125">
        <v>0</v>
      </c>
      <c r="N256" s="25"/>
      <c r="O256" s="25"/>
      <c r="P256" s="5"/>
    </row>
    <row r="257" spans="1:16" ht="15.6" x14ac:dyDescent="0.3">
      <c r="A257" s="24"/>
      <c r="B257" s="53" t="s">
        <v>86</v>
      </c>
      <c r="C257" s="25"/>
      <c r="D257" s="91"/>
      <c r="E257" s="91"/>
      <c r="F257" s="91"/>
      <c r="G257" s="91"/>
      <c r="H257" s="91"/>
      <c r="I257" s="91"/>
      <c r="J257" s="53">
        <v>0</v>
      </c>
      <c r="K257" s="90">
        <v>0</v>
      </c>
      <c r="L257" s="52">
        <v>0</v>
      </c>
      <c r="M257" s="125">
        <v>0</v>
      </c>
      <c r="N257" s="25"/>
      <c r="O257" s="25"/>
      <c r="P257" s="5"/>
    </row>
    <row r="258" spans="1:16" ht="15.6" x14ac:dyDescent="0.3">
      <c r="A258" s="24"/>
      <c r="B258" s="53" t="s">
        <v>87</v>
      </c>
      <c r="C258" s="25"/>
      <c r="D258" s="91"/>
      <c r="E258" s="91"/>
      <c r="F258" s="91"/>
      <c r="G258" s="91"/>
      <c r="H258" s="91"/>
      <c r="I258" s="91"/>
      <c r="J258" s="53">
        <v>0</v>
      </c>
      <c r="K258" s="90">
        <v>0</v>
      </c>
      <c r="L258" s="52">
        <v>0</v>
      </c>
      <c r="M258" s="125">
        <v>0</v>
      </c>
      <c r="N258" s="25"/>
      <c r="O258" s="25"/>
      <c r="P258" s="5"/>
    </row>
    <row r="259" spans="1:16" ht="15.6" x14ac:dyDescent="0.3">
      <c r="A259" s="24"/>
      <c r="B259" s="53" t="s">
        <v>145</v>
      </c>
      <c r="C259" s="25"/>
      <c r="D259" s="91"/>
      <c r="E259" s="91"/>
      <c r="F259" s="91"/>
      <c r="G259" s="91"/>
      <c r="H259" s="91"/>
      <c r="I259" s="91"/>
      <c r="J259" s="53">
        <v>0</v>
      </c>
      <c r="K259" s="90">
        <v>0</v>
      </c>
      <c r="L259" s="52">
        <v>0</v>
      </c>
      <c r="M259" s="125">
        <v>0</v>
      </c>
      <c r="N259" s="25"/>
      <c r="O259" s="25"/>
      <c r="P259" s="5"/>
    </row>
    <row r="260" spans="1:16" ht="15.6" x14ac:dyDescent="0.3">
      <c r="A260" s="24"/>
      <c r="B260" s="53" t="s">
        <v>146</v>
      </c>
      <c r="C260" s="25"/>
      <c r="D260" s="91"/>
      <c r="E260" s="91"/>
      <c r="F260" s="91"/>
      <c r="G260" s="91"/>
      <c r="H260" s="91"/>
      <c r="I260" s="91"/>
      <c r="J260" s="53">
        <v>0</v>
      </c>
      <c r="K260" s="90">
        <v>0</v>
      </c>
      <c r="L260" s="52">
        <v>0</v>
      </c>
      <c r="M260" s="125">
        <v>0</v>
      </c>
      <c r="N260" s="25"/>
      <c r="O260" s="25"/>
      <c r="P260" s="5"/>
    </row>
    <row r="261" spans="1:16" ht="15.6" x14ac:dyDescent="0.3">
      <c r="A261" s="24"/>
      <c r="B261" s="53" t="s">
        <v>147</v>
      </c>
      <c r="C261" s="25"/>
      <c r="D261" s="91"/>
      <c r="E261" s="91"/>
      <c r="F261" s="91"/>
      <c r="G261" s="91"/>
      <c r="H261" s="91"/>
      <c r="I261" s="91"/>
      <c r="J261" s="53">
        <v>0</v>
      </c>
      <c r="K261" s="90">
        <v>0</v>
      </c>
      <c r="L261" s="52">
        <v>0</v>
      </c>
      <c r="M261" s="125">
        <v>0</v>
      </c>
      <c r="N261" s="25"/>
      <c r="O261" s="25"/>
      <c r="P261" s="5"/>
    </row>
    <row r="262" spans="1:16" ht="15.6" x14ac:dyDescent="0.3">
      <c r="A262" s="24"/>
      <c r="B262" s="53" t="s">
        <v>227</v>
      </c>
      <c r="C262" s="25"/>
      <c r="D262" s="91"/>
      <c r="E262" s="91"/>
      <c r="F262" s="91"/>
      <c r="G262" s="91"/>
      <c r="H262" s="91"/>
      <c r="I262" s="91"/>
      <c r="J262" s="53">
        <v>0</v>
      </c>
      <c r="K262" s="90">
        <v>0</v>
      </c>
      <c r="L262" s="52">
        <v>0</v>
      </c>
      <c r="M262" s="125">
        <v>0</v>
      </c>
      <c r="N262" s="25"/>
      <c r="O262" s="25"/>
      <c r="P262" s="5"/>
    </row>
    <row r="263" spans="1:16" ht="15.6" x14ac:dyDescent="0.3">
      <c r="A263" s="24"/>
      <c r="B263" s="53" t="s">
        <v>228</v>
      </c>
      <c r="C263" s="25"/>
      <c r="D263" s="91"/>
      <c r="E263" s="91"/>
      <c r="F263" s="91"/>
      <c r="G263" s="91"/>
      <c r="H263" s="91"/>
      <c r="I263" s="91"/>
      <c r="J263" s="53">
        <v>0</v>
      </c>
      <c r="K263" s="90">
        <v>0</v>
      </c>
      <c r="L263" s="52">
        <v>0</v>
      </c>
      <c r="M263" s="125">
        <v>0</v>
      </c>
      <c r="N263" s="25"/>
      <c r="O263" s="25"/>
      <c r="P263" s="5"/>
    </row>
    <row r="264" spans="1:16" ht="15.6" x14ac:dyDescent="0.3">
      <c r="A264" s="24"/>
      <c r="B264" s="53" t="s">
        <v>229</v>
      </c>
      <c r="C264" s="25"/>
      <c r="D264" s="91"/>
      <c r="E264" s="91"/>
      <c r="F264" s="91"/>
      <c r="G264" s="91"/>
      <c r="H264" s="91"/>
      <c r="I264" s="91"/>
      <c r="J264" s="53">
        <v>0</v>
      </c>
      <c r="K264" s="90">
        <v>0</v>
      </c>
      <c r="L264" s="52">
        <v>0</v>
      </c>
      <c r="M264" s="125">
        <v>0</v>
      </c>
      <c r="N264" s="25"/>
      <c r="O264" s="25"/>
      <c r="P264" s="5"/>
    </row>
    <row r="265" spans="1:16" ht="15.6" x14ac:dyDescent="0.3">
      <c r="A265" s="24"/>
      <c r="B265" s="53" t="s">
        <v>230</v>
      </c>
      <c r="C265" s="25"/>
      <c r="D265" s="91"/>
      <c r="E265" s="91"/>
      <c r="F265" s="91"/>
      <c r="G265" s="91"/>
      <c r="H265" s="91"/>
      <c r="I265" s="91"/>
      <c r="J265" s="53">
        <v>0</v>
      </c>
      <c r="K265" s="90">
        <v>0</v>
      </c>
      <c r="L265" s="52">
        <v>0</v>
      </c>
      <c r="M265" s="125">
        <v>0</v>
      </c>
      <c r="N265" s="25"/>
      <c r="O265" s="25"/>
      <c r="P265" s="5"/>
    </row>
    <row r="266" spans="1:16" ht="15.6" x14ac:dyDescent="0.3">
      <c r="A266" s="24"/>
      <c r="B266" s="53" t="s">
        <v>231</v>
      </c>
      <c r="C266" s="25"/>
      <c r="D266" s="91"/>
      <c r="E266" s="91"/>
      <c r="F266" s="91"/>
      <c r="G266" s="91"/>
      <c r="H266" s="91"/>
      <c r="I266" s="91"/>
      <c r="J266" s="53">
        <v>0</v>
      </c>
      <c r="K266" s="90">
        <v>0</v>
      </c>
      <c r="L266" s="52">
        <v>0</v>
      </c>
      <c r="M266" s="125">
        <v>0</v>
      </c>
      <c r="N266" s="25"/>
      <c r="O266" s="25"/>
      <c r="P266" s="5"/>
    </row>
    <row r="267" spans="1:16" ht="15.6" x14ac:dyDescent="0.3">
      <c r="A267" s="24"/>
      <c r="B267" s="53" t="s">
        <v>232</v>
      </c>
      <c r="C267" s="25"/>
      <c r="D267" s="91"/>
      <c r="E267" s="91"/>
      <c r="F267" s="91"/>
      <c r="G267" s="91"/>
      <c r="H267" s="91"/>
      <c r="I267" s="91"/>
      <c r="J267" s="53">
        <v>0</v>
      </c>
      <c r="K267" s="90">
        <v>0</v>
      </c>
      <c r="L267" s="52">
        <v>0</v>
      </c>
      <c r="M267" s="125">
        <v>0</v>
      </c>
      <c r="N267" s="25"/>
      <c r="O267" s="25"/>
      <c r="P267" s="5"/>
    </row>
    <row r="268" spans="1:16" ht="15.6" x14ac:dyDescent="0.3">
      <c r="A268" s="24"/>
      <c r="B268" s="53" t="s">
        <v>233</v>
      </c>
      <c r="C268" s="25"/>
      <c r="D268" s="91"/>
      <c r="E268" s="91"/>
      <c r="F268" s="91"/>
      <c r="G268" s="91"/>
      <c r="H268" s="91"/>
      <c r="I268" s="91"/>
      <c r="J268" s="53">
        <v>0</v>
      </c>
      <c r="K268" s="90">
        <v>0</v>
      </c>
      <c r="L268" s="52">
        <v>0</v>
      </c>
      <c r="M268" s="125">
        <v>0</v>
      </c>
      <c r="N268" s="25"/>
      <c r="O268" s="25"/>
      <c r="P268" s="5"/>
    </row>
    <row r="269" spans="1:16" ht="15.6" x14ac:dyDescent="0.3">
      <c r="A269" s="24"/>
      <c r="B269" s="53"/>
      <c r="C269" s="25"/>
      <c r="D269" s="91"/>
      <c r="E269" s="91"/>
      <c r="F269" s="91"/>
      <c r="G269" s="91"/>
      <c r="H269" s="91"/>
      <c r="I269" s="91"/>
      <c r="J269" s="53"/>
      <c r="K269" s="90"/>
      <c r="L269" s="52"/>
      <c r="M269" s="125"/>
      <c r="N269" s="25"/>
      <c r="O269" s="25"/>
      <c r="P269" s="5"/>
    </row>
    <row r="270" spans="1:16" ht="15.6" x14ac:dyDescent="0.3">
      <c r="A270" s="24"/>
      <c r="B270" s="25" t="s">
        <v>114</v>
      </c>
      <c r="C270" s="25"/>
      <c r="D270" s="91"/>
      <c r="E270" s="91"/>
      <c r="F270" s="91"/>
      <c r="G270" s="91"/>
      <c r="H270" s="91"/>
      <c r="I270" s="91"/>
      <c r="J270" s="34">
        <f>SUM(J256:J268)</f>
        <v>0</v>
      </c>
      <c r="K270" s="90">
        <f>SUM(K256:K268)</f>
        <v>0</v>
      </c>
      <c r="L270" s="52">
        <f>SUM(L256:L268)</f>
        <v>0</v>
      </c>
      <c r="M270" s="125">
        <f>SUM(M256:M268)</f>
        <v>0</v>
      </c>
      <c r="N270" s="25"/>
      <c r="O270" s="25"/>
      <c r="P270" s="5"/>
    </row>
    <row r="271" spans="1:16" ht="15.6" x14ac:dyDescent="0.3">
      <c r="A271" s="24"/>
      <c r="B271" s="25"/>
      <c r="C271" s="25"/>
      <c r="D271" s="91"/>
      <c r="E271" s="91"/>
      <c r="F271" s="91"/>
      <c r="G271" s="91"/>
      <c r="H271" s="91"/>
      <c r="I271" s="91"/>
      <c r="J271" s="34"/>
      <c r="K271" s="125"/>
      <c r="L271" s="52"/>
      <c r="M271" s="125"/>
      <c r="N271" s="25"/>
      <c r="O271" s="25"/>
      <c r="P271" s="5"/>
    </row>
    <row r="272" spans="1:16" ht="15.6" x14ac:dyDescent="0.3">
      <c r="A272" s="24"/>
      <c r="B272" s="134" t="s">
        <v>151</v>
      </c>
      <c r="C272" s="25"/>
      <c r="D272" s="91"/>
      <c r="E272" s="91"/>
      <c r="F272" s="91"/>
      <c r="G272" s="91"/>
      <c r="H272" s="91"/>
      <c r="I272" s="91"/>
      <c r="J272" s="149">
        <f>J270+J253+J236</f>
        <v>3190</v>
      </c>
      <c r="K272" s="135"/>
      <c r="L272" s="136">
        <f>+L270+L253+L236</f>
        <v>131432</v>
      </c>
      <c r="M272" s="135"/>
      <c r="N272" s="25"/>
      <c r="O272" s="25"/>
      <c r="P272" s="5"/>
    </row>
    <row r="273" spans="1:16" ht="15.6" x14ac:dyDescent="0.3">
      <c r="A273" s="24"/>
      <c r="B273" s="25"/>
      <c r="C273" s="25"/>
      <c r="D273" s="91"/>
      <c r="E273" s="91"/>
      <c r="F273" s="91"/>
      <c r="G273" s="91"/>
      <c r="H273" s="91"/>
      <c r="I273" s="91"/>
      <c r="J273" s="91"/>
      <c r="K273" s="91"/>
      <c r="L273" s="52"/>
      <c r="M273" s="91"/>
      <c r="N273" s="25"/>
      <c r="O273" s="25"/>
      <c r="P273" s="5"/>
    </row>
    <row r="274" spans="1:16" ht="15.6" x14ac:dyDescent="0.3">
      <c r="A274" s="6"/>
      <c r="B274" s="8"/>
      <c r="C274" s="8"/>
      <c r="D274" s="92"/>
      <c r="E274" s="92"/>
      <c r="F274" s="92"/>
      <c r="G274" s="92"/>
      <c r="H274" s="92"/>
      <c r="I274" s="92"/>
      <c r="J274" s="92"/>
      <c r="K274" s="92"/>
      <c r="L274" s="93"/>
      <c r="M274" s="92"/>
      <c r="N274" s="8"/>
      <c r="O274" s="8"/>
      <c r="P274" s="5"/>
    </row>
    <row r="275" spans="1:16" ht="15.6" x14ac:dyDescent="0.3">
      <c r="A275" s="179"/>
      <c r="B275" s="14" t="s">
        <v>88</v>
      </c>
      <c r="C275" s="15"/>
      <c r="D275" s="17" t="s">
        <v>94</v>
      </c>
      <c r="E275" s="15"/>
      <c r="F275" s="14" t="s">
        <v>96</v>
      </c>
      <c r="G275" s="174"/>
      <c r="H275" s="174"/>
      <c r="I275" s="174"/>
      <c r="J275" s="17"/>
      <c r="K275" s="15"/>
      <c r="L275" s="14"/>
      <c r="M275" s="174"/>
      <c r="N275" s="174"/>
      <c r="O275" s="174"/>
      <c r="P275" s="5"/>
    </row>
    <row r="276" spans="1:16" ht="15.6" x14ac:dyDescent="0.3">
      <c r="A276" s="179"/>
      <c r="B276" s="174"/>
      <c r="C276" s="8"/>
      <c r="D276" s="8"/>
      <c r="E276" s="8"/>
      <c r="F276" s="8"/>
      <c r="G276" s="174"/>
      <c r="H276" s="174"/>
      <c r="I276" s="174"/>
      <c r="J276" s="8"/>
      <c r="K276" s="8"/>
      <c r="L276" s="8"/>
      <c r="M276" s="174"/>
      <c r="N276" s="174"/>
      <c r="O276" s="174"/>
      <c r="P276" s="5"/>
    </row>
    <row r="277" spans="1:16" ht="15.6" x14ac:dyDescent="0.3">
      <c r="A277" s="179"/>
      <c r="B277" s="13" t="s">
        <v>89</v>
      </c>
      <c r="C277" s="13"/>
      <c r="D277" s="123" t="s">
        <v>138</v>
      </c>
      <c r="E277" s="13"/>
      <c r="F277" s="13" t="s">
        <v>141</v>
      </c>
      <c r="G277" s="174"/>
      <c r="H277" s="174"/>
      <c r="I277" s="174"/>
      <c r="J277" s="123"/>
      <c r="K277" s="13"/>
      <c r="L277" s="13"/>
      <c r="M277" s="174"/>
      <c r="N277" s="174"/>
      <c r="O277" s="174"/>
      <c r="P277" s="5"/>
    </row>
    <row r="278" spans="1:16" ht="15.6" x14ac:dyDescent="0.3">
      <c r="A278" s="13"/>
      <c r="B278" s="13" t="s">
        <v>239</v>
      </c>
      <c r="C278" s="13"/>
      <c r="D278" s="123" t="s">
        <v>240</v>
      </c>
      <c r="E278" s="123"/>
      <c r="F278" s="13" t="s">
        <v>241</v>
      </c>
      <c r="G278" s="13"/>
      <c r="H278" s="174"/>
      <c r="I278" s="174"/>
      <c r="J278" s="123"/>
      <c r="K278" s="13"/>
      <c r="L278" s="13"/>
      <c r="M278" s="174"/>
      <c r="N278" s="174"/>
      <c r="O278" s="174"/>
      <c r="P278" s="5"/>
    </row>
    <row r="279" spans="1:16" ht="15.6" x14ac:dyDescent="0.3">
      <c r="A279" s="179"/>
      <c r="B279" s="13" t="s">
        <v>90</v>
      </c>
      <c r="C279" s="13"/>
      <c r="D279" s="123" t="s">
        <v>137</v>
      </c>
      <c r="E279" s="13"/>
      <c r="F279" s="13" t="s">
        <v>142</v>
      </c>
      <c r="G279" s="174"/>
      <c r="H279" s="174"/>
      <c r="I279" s="174"/>
      <c r="J279" s="123"/>
      <c r="K279" s="13"/>
      <c r="L279" s="13"/>
      <c r="M279" s="174"/>
      <c r="N279" s="174"/>
      <c r="O279" s="174"/>
      <c r="P279" s="5"/>
    </row>
    <row r="280" spans="1:16" ht="15.6" x14ac:dyDescent="0.3">
      <c r="A280" s="179"/>
      <c r="B280" s="13"/>
      <c r="C280" s="13"/>
      <c r="D280" s="174"/>
      <c r="E280" s="174"/>
      <c r="F280" s="174"/>
      <c r="G280" s="174"/>
      <c r="H280" s="174"/>
      <c r="I280" s="174"/>
      <c r="J280" s="174"/>
      <c r="K280" s="174"/>
      <c r="L280" s="174"/>
      <c r="M280" s="174"/>
      <c r="N280" s="174"/>
      <c r="O280" s="174"/>
      <c r="P280" s="5"/>
    </row>
    <row r="281" spans="1:16" ht="15.6" x14ac:dyDescent="0.3">
      <c r="A281" s="179"/>
      <c r="B281" s="13"/>
      <c r="C281" s="13"/>
      <c r="D281" s="174"/>
      <c r="E281" s="174"/>
      <c r="F281" s="174"/>
      <c r="G281" s="174"/>
      <c r="H281" s="174"/>
      <c r="I281" s="174"/>
      <c r="J281" s="174"/>
      <c r="K281" s="174"/>
      <c r="L281" s="174"/>
      <c r="M281" s="174"/>
      <c r="N281" s="174"/>
      <c r="O281" s="174"/>
      <c r="P281" s="5"/>
    </row>
    <row r="282" spans="1:16" ht="18" thickBot="1" x14ac:dyDescent="0.35">
      <c r="A282" s="179"/>
      <c r="B282" s="48" t="str">
        <f>B183</f>
        <v>FF7 INVESTOR REPORT QUARTER ENDING AUGUST 2009</v>
      </c>
      <c r="C282" s="13"/>
      <c r="D282" s="174"/>
      <c r="E282" s="174"/>
      <c r="F282" s="174"/>
      <c r="G282" s="174"/>
      <c r="H282" s="174"/>
      <c r="I282" s="174"/>
      <c r="J282" s="174"/>
      <c r="K282" s="174"/>
      <c r="L282" s="174"/>
      <c r="M282" s="174"/>
      <c r="N282" s="174"/>
      <c r="O282" s="174"/>
      <c r="P282" s="5"/>
    </row>
    <row r="283" spans="1:16" x14ac:dyDescent="0.25">
      <c r="A283" s="95"/>
      <c r="B283" s="95"/>
      <c r="C283" s="95"/>
      <c r="D283" s="95"/>
      <c r="E283" s="95"/>
      <c r="F283" s="95"/>
      <c r="G283" s="95"/>
      <c r="H283" s="95"/>
      <c r="I283" s="95"/>
      <c r="J283" s="95"/>
      <c r="K283" s="95"/>
      <c r="L283" s="95"/>
      <c r="M283" s="95"/>
      <c r="N283" s="95"/>
      <c r="O283"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3" manualBreakCount="3">
    <brk id="52" max="14" man="1"/>
    <brk id="116" max="14" man="1"/>
    <brk id="183"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A1:IV283"/>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5.2299999999999999E-2</v>
      </c>
      <c r="L16" s="17" t="s">
        <v>133</v>
      </c>
      <c r="M16" s="129">
        <v>0.94769999999999999</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40164</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74"/>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74"/>
      <c r="N22" s="174"/>
      <c r="O22" s="8"/>
      <c r="P22" s="5"/>
    </row>
    <row r="23" spans="1:16" ht="15.6" x14ac:dyDescent="0.3">
      <c r="A23" s="24"/>
      <c r="B23" s="25" t="s">
        <v>7</v>
      </c>
      <c r="C23" s="26"/>
      <c r="D23" s="26" t="s">
        <v>134</v>
      </c>
      <c r="E23" s="26"/>
      <c r="F23" s="26" t="s">
        <v>152</v>
      </c>
      <c r="G23" s="26"/>
      <c r="H23" s="26" t="s">
        <v>135</v>
      </c>
      <c r="I23" s="26"/>
      <c r="J23" s="26"/>
      <c r="K23" s="26"/>
      <c r="L23" s="26"/>
      <c r="M23" s="175"/>
      <c r="N23" s="175"/>
      <c r="O23" s="25"/>
      <c r="P23" s="5"/>
    </row>
    <row r="24" spans="1:16" ht="15.6" x14ac:dyDescent="0.3">
      <c r="A24" s="28"/>
      <c r="B24" s="124" t="s">
        <v>162</v>
      </c>
      <c r="C24" s="118"/>
      <c r="D24" s="26" t="s">
        <v>134</v>
      </c>
      <c r="E24" s="26"/>
      <c r="F24" s="26" t="s">
        <v>152</v>
      </c>
      <c r="G24" s="26"/>
      <c r="H24" s="26" t="s">
        <v>135</v>
      </c>
      <c r="I24" s="26"/>
      <c r="J24" s="26"/>
      <c r="K24" s="118"/>
      <c r="L24" s="26"/>
      <c r="M24" s="175"/>
      <c r="N24" s="175"/>
      <c r="O24" s="25"/>
      <c r="P24" s="5"/>
    </row>
    <row r="25" spans="1:16" ht="15.6" x14ac:dyDescent="0.3">
      <c r="A25" s="24"/>
      <c r="B25" s="29" t="s">
        <v>163</v>
      </c>
      <c r="C25" s="26"/>
      <c r="D25" s="118" t="s">
        <v>134</v>
      </c>
      <c r="E25" s="118"/>
      <c r="F25" s="118" t="s">
        <v>152</v>
      </c>
      <c r="G25" s="118"/>
      <c r="H25" s="118" t="s">
        <v>135</v>
      </c>
      <c r="I25" s="118"/>
      <c r="J25" s="118"/>
      <c r="K25" s="26"/>
      <c r="L25" s="30"/>
      <c r="M25" s="175"/>
      <c r="N25" s="175"/>
      <c r="O25" s="25"/>
      <c r="P25" s="5"/>
    </row>
    <row r="26" spans="1:16" ht="15.6" x14ac:dyDescent="0.3">
      <c r="A26" s="24"/>
      <c r="B26" s="143" t="s">
        <v>164</v>
      </c>
      <c r="C26" s="26"/>
      <c r="D26" s="118" t="s">
        <v>134</v>
      </c>
      <c r="E26" s="118"/>
      <c r="F26" s="118" t="s">
        <v>152</v>
      </c>
      <c r="G26" s="118"/>
      <c r="H26" s="118" t="s">
        <v>135</v>
      </c>
      <c r="I26" s="118"/>
      <c r="J26" s="118"/>
      <c r="K26" s="26"/>
      <c r="L26" s="30"/>
      <c r="M26" s="175"/>
      <c r="N26" s="175"/>
      <c r="O26" s="25"/>
      <c r="P26" s="5"/>
    </row>
    <row r="27" spans="1:16" ht="15.6" x14ac:dyDescent="0.3">
      <c r="A27" s="24"/>
      <c r="B27" s="25" t="s">
        <v>8</v>
      </c>
      <c r="C27" s="32"/>
      <c r="D27" s="26" t="s">
        <v>218</v>
      </c>
      <c r="E27" s="26"/>
      <c r="F27" s="26" t="s">
        <v>219</v>
      </c>
      <c r="G27" s="26"/>
      <c r="H27" s="26" t="s">
        <v>220</v>
      </c>
      <c r="I27" s="26"/>
      <c r="J27" s="26"/>
      <c r="K27" s="31"/>
      <c r="L27" s="31"/>
      <c r="M27" s="176"/>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123331.95360000001</v>
      </c>
      <c r="E29" s="31"/>
      <c r="F29" s="31">
        <f>F28*F32</f>
        <v>4050</v>
      </c>
      <c r="G29" s="31"/>
      <c r="H29" s="31">
        <f>H28*H32</f>
        <v>4050</v>
      </c>
      <c r="I29" s="31"/>
      <c r="J29" s="119"/>
      <c r="K29" s="31"/>
      <c r="L29" s="31"/>
      <c r="M29" s="176"/>
      <c r="N29" s="31">
        <f>SUM(D29:H29)</f>
        <v>131431.95360000001</v>
      </c>
      <c r="O29" s="34"/>
      <c r="P29" s="5"/>
    </row>
    <row r="30" spans="1:16" ht="15.6" x14ac:dyDescent="0.3">
      <c r="A30" s="24"/>
      <c r="B30" s="29" t="s">
        <v>130</v>
      </c>
      <c r="C30" s="32"/>
      <c r="D30" s="35">
        <f>D28*D31</f>
        <v>117796.32860000001</v>
      </c>
      <c r="E30" s="35"/>
      <c r="F30" s="35">
        <f>F28*F31</f>
        <v>3759.3962999999999</v>
      </c>
      <c r="G30" s="35"/>
      <c r="H30" s="35">
        <f>H28*H31</f>
        <v>3759.3962999999999</v>
      </c>
      <c r="I30" s="35"/>
      <c r="J30" s="120"/>
      <c r="K30" s="31"/>
      <c r="L30" s="31"/>
      <c r="M30" s="176"/>
      <c r="N30" s="145">
        <f>SUM(D30:I30)</f>
        <v>125315.12119999999</v>
      </c>
      <c r="O30" s="34"/>
      <c r="P30" s="5"/>
    </row>
    <row r="31" spans="1:16" ht="15.6" x14ac:dyDescent="0.3">
      <c r="A31" s="24"/>
      <c r="B31" s="117" t="s">
        <v>126</v>
      </c>
      <c r="C31" s="25"/>
      <c r="D31" s="171">
        <v>0.45219320000000002</v>
      </c>
      <c r="E31" s="171"/>
      <c r="F31" s="171">
        <v>0.92824600000000002</v>
      </c>
      <c r="G31" s="171"/>
      <c r="H31" s="171">
        <v>0.92824600000000002</v>
      </c>
      <c r="I31" s="128"/>
      <c r="J31" s="128"/>
      <c r="K31" s="30"/>
      <c r="L31" s="30"/>
      <c r="M31" s="175"/>
      <c r="N31" s="175"/>
      <c r="O31" s="25"/>
      <c r="P31" s="5"/>
    </row>
    <row r="32" spans="1:16" ht="15.6" x14ac:dyDescent="0.3">
      <c r="A32" s="24"/>
      <c r="B32" s="117" t="s">
        <v>127</v>
      </c>
      <c r="C32" s="25"/>
      <c r="D32" s="171">
        <v>0.47344320000000001</v>
      </c>
      <c r="E32" s="171"/>
      <c r="F32" s="171">
        <v>1</v>
      </c>
      <c r="G32" s="171"/>
      <c r="H32" s="171">
        <v>1</v>
      </c>
      <c r="I32" s="128"/>
      <c r="J32" s="128"/>
      <c r="K32" s="39"/>
      <c r="L32" s="38"/>
      <c r="M32" s="175"/>
      <c r="N32" s="39"/>
      <c r="O32" s="25"/>
      <c r="P32" s="5"/>
    </row>
    <row r="33" spans="1:17" ht="15.6" x14ac:dyDescent="0.3">
      <c r="A33" s="24"/>
      <c r="B33" s="25" t="s">
        <v>9</v>
      </c>
      <c r="C33" s="25"/>
      <c r="D33" s="30" t="s">
        <v>192</v>
      </c>
      <c r="E33" s="30"/>
      <c r="F33" s="30" t="s">
        <v>194</v>
      </c>
      <c r="G33" s="30"/>
      <c r="H33" s="30" t="s">
        <v>196</v>
      </c>
      <c r="I33" s="30"/>
      <c r="J33" s="30"/>
      <c r="K33" s="39"/>
      <c r="L33" s="38"/>
      <c r="M33" s="175"/>
      <c r="N33" s="175"/>
      <c r="O33" s="25"/>
      <c r="P33" s="5"/>
    </row>
    <row r="34" spans="1:17" ht="15.6" x14ac:dyDescent="0.3">
      <c r="A34" s="24"/>
      <c r="B34" s="25" t="s">
        <v>10</v>
      </c>
      <c r="C34" s="25"/>
      <c r="D34" s="38">
        <v>7.3062999999999999E-3</v>
      </c>
      <c r="E34" s="39"/>
      <c r="F34" s="38">
        <v>7.9062999999999998E-3</v>
      </c>
      <c r="G34" s="39"/>
      <c r="H34" s="38">
        <v>8.9063000000000007E-3</v>
      </c>
      <c r="I34" s="39"/>
      <c r="J34" s="38"/>
      <c r="K34" s="39"/>
      <c r="L34" s="38"/>
      <c r="M34" s="175"/>
      <c r="N34" s="39">
        <f>SUMPRODUCT(D34:H34,D29:H29)/N29</f>
        <v>7.37409173371429E-3</v>
      </c>
      <c r="O34" s="25"/>
      <c r="P34" s="5"/>
    </row>
    <row r="35" spans="1:17" ht="15.6" x14ac:dyDescent="0.3">
      <c r="A35" s="24"/>
      <c r="B35" s="25" t="s">
        <v>11</v>
      </c>
      <c r="C35" s="25"/>
      <c r="D35" s="38">
        <v>1.37188E-2</v>
      </c>
      <c r="E35" s="39"/>
      <c r="F35" s="38">
        <v>1.43188E-2</v>
      </c>
      <c r="G35" s="39"/>
      <c r="H35" s="38">
        <v>1.53188E-2</v>
      </c>
      <c r="I35" s="38"/>
      <c r="J35" s="38"/>
      <c r="K35" s="39"/>
      <c r="L35" s="38"/>
      <c r="M35" s="175"/>
      <c r="N35" s="39" t="s">
        <v>165</v>
      </c>
      <c r="O35" s="25"/>
      <c r="P35" s="5"/>
    </row>
    <row r="36" spans="1:17" ht="15.6" x14ac:dyDescent="0.3">
      <c r="A36" s="24"/>
      <c r="B36" s="25" t="s">
        <v>12</v>
      </c>
      <c r="C36" s="25"/>
      <c r="D36" s="105">
        <v>40617</v>
      </c>
      <c r="E36" s="105"/>
      <c r="F36" s="105">
        <v>40617</v>
      </c>
      <c r="G36" s="105"/>
      <c r="H36" s="105">
        <v>40617</v>
      </c>
      <c r="I36" s="105"/>
      <c r="J36" s="105"/>
      <c r="K36" s="30"/>
      <c r="L36" s="30"/>
      <c r="M36" s="175"/>
      <c r="N36" s="175"/>
      <c r="O36" s="25"/>
      <c r="P36" s="5"/>
    </row>
    <row r="37" spans="1:17" ht="15.6" x14ac:dyDescent="0.3">
      <c r="A37" s="24"/>
      <c r="B37" s="25" t="s">
        <v>13</v>
      </c>
      <c r="C37" s="25"/>
      <c r="D37" s="105">
        <v>40983</v>
      </c>
      <c r="E37" s="30"/>
      <c r="F37" s="105">
        <v>40983</v>
      </c>
      <c r="G37" s="30"/>
      <c r="H37" s="105">
        <v>40983</v>
      </c>
      <c r="I37" s="30"/>
      <c r="J37" s="105"/>
      <c r="K37" s="30"/>
      <c r="L37" s="30"/>
      <c r="M37" s="175"/>
      <c r="N37" s="175"/>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0"/>
      <c r="G39" s="30"/>
      <c r="H39" s="30"/>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6.3828751620362459E-2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40162</v>
      </c>
      <c r="O45" s="25"/>
      <c r="P45" s="5"/>
    </row>
    <row r="46" spans="1:17" ht="15.6" x14ac:dyDescent="0.3">
      <c r="A46" s="24"/>
      <c r="B46" s="25" t="s">
        <v>119</v>
      </c>
      <c r="C46" s="25"/>
      <c r="D46" s="56"/>
      <c r="E46" s="56"/>
      <c r="F46" s="56"/>
      <c r="G46" s="56"/>
      <c r="H46" s="56"/>
      <c r="I46" s="56"/>
      <c r="J46" s="25">
        <f>+N46-L46+1</f>
        <v>92</v>
      </c>
      <c r="K46" s="56"/>
      <c r="L46" s="44">
        <v>39979</v>
      </c>
      <c r="M46" s="45"/>
      <c r="N46" s="44">
        <v>40070</v>
      </c>
      <c r="O46" s="25"/>
      <c r="P46" s="5"/>
    </row>
    <row r="47" spans="1:17" ht="15.6" x14ac:dyDescent="0.3">
      <c r="A47" s="24"/>
      <c r="B47" s="25" t="s">
        <v>120</v>
      </c>
      <c r="C47" s="25"/>
      <c r="D47" s="25"/>
      <c r="E47" s="25"/>
      <c r="F47" s="25"/>
      <c r="G47" s="25"/>
      <c r="H47" s="25"/>
      <c r="I47" s="25"/>
      <c r="J47" s="25">
        <f>+N47-L47+1</f>
        <v>91</v>
      </c>
      <c r="K47" s="25"/>
      <c r="L47" s="44">
        <v>40071</v>
      </c>
      <c r="M47" s="45"/>
      <c r="N47" s="44">
        <v>40161</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40148</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254</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131432</v>
      </c>
      <c r="G57" s="34"/>
      <c r="H57" s="34">
        <f>6117+1551+450</f>
        <v>8118</v>
      </c>
      <c r="I57" s="34"/>
      <c r="J57" s="34">
        <f>1551+450</f>
        <v>2001</v>
      </c>
      <c r="K57" s="34"/>
      <c r="L57" s="34">
        <v>0</v>
      </c>
      <c r="M57" s="34"/>
      <c r="N57" s="52">
        <f>+F57-H57+J57-L57</f>
        <v>125315</v>
      </c>
      <c r="O57" s="25"/>
      <c r="P57" s="5"/>
    </row>
    <row r="58" spans="1:16" ht="15.6" x14ac:dyDescent="0.3">
      <c r="A58" s="24"/>
      <c r="B58" s="25" t="s">
        <v>209</v>
      </c>
      <c r="C58" s="34"/>
      <c r="D58" s="34">
        <v>756</v>
      </c>
      <c r="E58" s="34"/>
      <c r="F58" s="52">
        <v>503</v>
      </c>
      <c r="G58" s="34"/>
      <c r="H58" s="34">
        <v>2</v>
      </c>
      <c r="I58" s="34"/>
      <c r="J58" s="34">
        <v>0</v>
      </c>
      <c r="K58" s="34"/>
      <c r="L58" s="34">
        <v>0</v>
      </c>
      <c r="M58" s="34"/>
      <c r="N58" s="52">
        <f>+F58-H58</f>
        <v>501</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131935</v>
      </c>
      <c r="G60" s="34"/>
      <c r="H60" s="34">
        <f>SUM(H57:H59)</f>
        <v>8120</v>
      </c>
      <c r="I60" s="34"/>
      <c r="J60" s="34">
        <f>SUM(J57:J59)</f>
        <v>2001</v>
      </c>
      <c r="K60" s="34"/>
      <c r="L60" s="34">
        <f>SUM(L57:L59)</f>
        <v>0</v>
      </c>
      <c r="M60" s="34"/>
      <c r="N60" s="53">
        <f>SUM(N57:N59)</f>
        <v>125816</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-503</v>
      </c>
      <c r="G69" s="34"/>
      <c r="H69" s="34"/>
      <c r="I69" s="34"/>
      <c r="J69" s="34"/>
      <c r="K69" s="34"/>
      <c r="L69" s="34"/>
      <c r="M69" s="34"/>
      <c r="N69" s="52">
        <f>-N58</f>
        <v>-501</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0</v>
      </c>
      <c r="G71" s="34"/>
      <c r="H71" s="34">
        <v>0</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131432</v>
      </c>
      <c r="G73" s="34"/>
      <c r="H73" s="34"/>
      <c r="I73" s="34"/>
      <c r="J73" s="34"/>
      <c r="K73" s="34"/>
      <c r="L73" s="53"/>
      <c r="M73" s="34"/>
      <c r="N73" s="53">
        <f>SUM(N60:N72)</f>
        <v>125315</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+L184</f>
        <v>40147</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0</v>
      </c>
      <c r="M77" s="25"/>
      <c r="N77" s="52">
        <v>0</v>
      </c>
      <c r="O77" s="25"/>
      <c r="P77" s="5"/>
    </row>
    <row r="78" spans="1:16" ht="15.6" x14ac:dyDescent="0.3">
      <c r="A78" s="24"/>
      <c r="B78" s="25" t="s">
        <v>27</v>
      </c>
      <c r="C78" s="25"/>
      <c r="D78" s="40"/>
      <c r="E78" s="25"/>
      <c r="F78" s="121"/>
      <c r="G78" s="25"/>
      <c r="H78" s="25"/>
      <c r="I78" s="25"/>
      <c r="J78" s="25"/>
      <c r="K78" s="25"/>
      <c r="L78" s="34">
        <f>8118</f>
        <v>8118</v>
      </c>
      <c r="M78" s="25"/>
      <c r="N78" s="52"/>
      <c r="O78" s="25"/>
      <c r="P78" s="5"/>
    </row>
    <row r="79" spans="1:16" ht="15.6" x14ac:dyDescent="0.3">
      <c r="A79" s="24"/>
      <c r="B79" s="25" t="s">
        <v>176</v>
      </c>
      <c r="C79" s="25"/>
      <c r="D79" s="40"/>
      <c r="E79" s="25"/>
      <c r="F79" s="121"/>
      <c r="G79" s="25"/>
      <c r="H79" s="25"/>
      <c r="I79" s="25"/>
      <c r="J79" s="25"/>
      <c r="K79" s="25"/>
      <c r="L79" s="34"/>
      <c r="M79" s="25"/>
      <c r="N79" s="52">
        <f>2562+153+1467-3328-66-652</f>
        <v>136</v>
      </c>
      <c r="O79" s="25"/>
      <c r="P79" s="5"/>
    </row>
    <row r="80" spans="1:16" ht="15.6" x14ac:dyDescent="0.3">
      <c r="A80" s="24"/>
      <c r="B80" s="25" t="s">
        <v>174</v>
      </c>
      <c r="C80" s="25"/>
      <c r="D80" s="40"/>
      <c r="E80" s="25"/>
      <c r="F80" s="121"/>
      <c r="G80" s="25"/>
      <c r="H80" s="25"/>
      <c r="I80" s="25"/>
      <c r="J80" s="25"/>
      <c r="K80" s="25"/>
      <c r="L80" s="34"/>
      <c r="M80" s="25"/>
      <c r="N80" s="52">
        <f>98+1+18</f>
        <v>117</v>
      </c>
      <c r="O80" s="25"/>
      <c r="P80" s="5"/>
    </row>
    <row r="81" spans="1:17" ht="15.6" x14ac:dyDescent="0.3">
      <c r="A81" s="24"/>
      <c r="B81" s="25" t="s">
        <v>175</v>
      </c>
      <c r="C81" s="25"/>
      <c r="D81" s="40"/>
      <c r="E81" s="25"/>
      <c r="F81" s="121"/>
      <c r="G81" s="25"/>
      <c r="H81" s="25"/>
      <c r="I81" s="25"/>
      <c r="J81" s="25"/>
      <c r="K81" s="25"/>
      <c r="L81" s="34"/>
      <c r="M81" s="25"/>
      <c r="N81" s="52">
        <v>7</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0</v>
      </c>
      <c r="O83" s="25"/>
      <c r="P83" s="5"/>
    </row>
    <row r="84" spans="1:17" ht="15.6" x14ac:dyDescent="0.3">
      <c r="A84" s="24"/>
      <c r="B84" s="25" t="s">
        <v>28</v>
      </c>
      <c r="C84" s="25"/>
      <c r="D84" s="25"/>
      <c r="E84" s="25"/>
      <c r="F84" s="25"/>
      <c r="G84" s="25"/>
      <c r="H84" s="25"/>
      <c r="I84" s="25"/>
      <c r="J84" s="25"/>
      <c r="K84" s="25"/>
      <c r="L84" s="34">
        <f>SUM(L77:L83)</f>
        <v>8118</v>
      </c>
      <c r="M84" s="25"/>
      <c r="N84" s="53">
        <f>SUM(N77:N83)</f>
        <v>260</v>
      </c>
      <c r="O84" s="25"/>
      <c r="P84" s="5"/>
    </row>
    <row r="85" spans="1:17" ht="15.6" x14ac:dyDescent="0.3">
      <c r="A85" s="24"/>
      <c r="B85" s="25" t="s">
        <v>148</v>
      </c>
      <c r="C85" s="25"/>
      <c r="D85" s="25"/>
      <c r="E85" s="25"/>
      <c r="F85" s="25"/>
      <c r="G85" s="25"/>
      <c r="H85" s="25"/>
      <c r="I85" s="25"/>
      <c r="J85" s="25"/>
      <c r="K85" s="25"/>
      <c r="L85" s="34">
        <v>-1551</v>
      </c>
      <c r="M85" s="25"/>
      <c r="N85" s="53">
        <f>-L85</f>
        <v>1551</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244</v>
      </c>
      <c r="C87" s="25"/>
      <c r="D87" s="25"/>
      <c r="E87" s="25"/>
      <c r="F87" s="25"/>
      <c r="G87" s="25"/>
      <c r="H87" s="25"/>
      <c r="I87" s="25"/>
      <c r="J87" s="25"/>
      <c r="K87" s="25"/>
      <c r="L87" s="34"/>
      <c r="M87" s="25"/>
      <c r="N87" s="52">
        <v>0</v>
      </c>
      <c r="O87" s="25"/>
      <c r="P87" s="5"/>
    </row>
    <row r="88" spans="1:17" ht="15.6" x14ac:dyDescent="0.3">
      <c r="A88" s="24"/>
      <c r="B88" s="25" t="s">
        <v>30</v>
      </c>
      <c r="C88" s="25"/>
      <c r="D88" s="25"/>
      <c r="E88" s="25"/>
      <c r="F88" s="25"/>
      <c r="G88" s="25"/>
      <c r="H88" s="25"/>
      <c r="I88" s="25"/>
      <c r="J88" s="25"/>
      <c r="K88" s="25"/>
      <c r="L88" s="34">
        <f>L84+L86+L85</f>
        <v>6567</v>
      </c>
      <c r="M88" s="25"/>
      <c r="N88" s="53">
        <f>N84+N86+N85+N87</f>
        <v>1811</v>
      </c>
      <c r="O88" s="25"/>
      <c r="P88" s="5"/>
    </row>
    <row r="89" spans="1:17" ht="15.6" x14ac:dyDescent="0.3">
      <c r="A89" s="24"/>
      <c r="B89" s="113" t="s">
        <v>31</v>
      </c>
      <c r="C89" s="25"/>
      <c r="D89" s="25"/>
      <c r="E89" s="25"/>
      <c r="F89" s="25"/>
      <c r="G89" s="25"/>
      <c r="H89" s="25"/>
      <c r="I89" s="25"/>
      <c r="J89" s="25"/>
      <c r="K89" s="25"/>
      <c r="L89" s="34"/>
      <c r="M89" s="25"/>
      <c r="N89" s="52"/>
      <c r="O89" s="25"/>
      <c r="P89" s="5"/>
    </row>
    <row r="90" spans="1:17" ht="15.6" x14ac:dyDescent="0.3">
      <c r="A90" s="24">
        <v>1</v>
      </c>
      <c r="B90" s="25" t="s">
        <v>32</v>
      </c>
      <c r="C90" s="25"/>
      <c r="D90" s="25"/>
      <c r="E90" s="25"/>
      <c r="F90" s="25"/>
      <c r="G90" s="25"/>
      <c r="H90" s="25"/>
      <c r="I90" s="25"/>
      <c r="J90" s="25"/>
      <c r="K90" s="25"/>
      <c r="L90" s="25"/>
      <c r="M90" s="25"/>
      <c r="N90" s="52">
        <v>0</v>
      </c>
      <c r="O90" s="25"/>
      <c r="P90" s="5"/>
    </row>
    <row r="91" spans="1:17" ht="15.6" x14ac:dyDescent="0.3">
      <c r="A91" s="24">
        <f>+A90+1</f>
        <v>2</v>
      </c>
      <c r="B91" s="25" t="s">
        <v>224</v>
      </c>
      <c r="C91" s="25"/>
      <c r="D91" s="25"/>
      <c r="E91" s="25"/>
      <c r="F91" s="25"/>
      <c r="G91" s="25"/>
      <c r="H91" s="25"/>
      <c r="I91" s="25"/>
      <c r="J91" s="25"/>
      <c r="K91" s="25"/>
      <c r="L91" s="25"/>
      <c r="M91" s="25"/>
      <c r="N91" s="52">
        <v>-2</v>
      </c>
      <c r="O91" s="25"/>
      <c r="P91" s="5"/>
    </row>
    <row r="92" spans="1:17" ht="15.6" x14ac:dyDescent="0.3">
      <c r="A92" s="24">
        <f>+A91+1</f>
        <v>3</v>
      </c>
      <c r="B92" s="25" t="s">
        <v>235</v>
      </c>
      <c r="C92" s="25"/>
      <c r="D92" s="25"/>
      <c r="E92" s="25"/>
      <c r="F92" s="25"/>
      <c r="G92" s="25"/>
      <c r="H92" s="25"/>
      <c r="I92" s="25"/>
      <c r="J92" s="25"/>
      <c r="K92" s="25"/>
      <c r="L92" s="25"/>
      <c r="M92" s="25"/>
      <c r="N92" s="52">
        <f>-49-2-13</f>
        <v>-64</v>
      </c>
      <c r="O92" s="25"/>
      <c r="P92" s="5"/>
    </row>
    <row r="93" spans="1:17" ht="15.6" x14ac:dyDescent="0.3">
      <c r="A93" s="24" t="s">
        <v>123</v>
      </c>
      <c r="B93" s="25" t="s">
        <v>116</v>
      </c>
      <c r="C93" s="25"/>
      <c r="D93" s="25"/>
      <c r="E93" s="25"/>
      <c r="F93" s="25"/>
      <c r="G93" s="25"/>
      <c r="H93" s="25"/>
      <c r="I93" s="25"/>
      <c r="J93" s="25"/>
      <c r="K93" s="25"/>
      <c r="L93" s="25"/>
      <c r="M93" s="25"/>
      <c r="N93" s="52">
        <v>0</v>
      </c>
      <c r="O93" s="25"/>
      <c r="P93" s="5"/>
    </row>
    <row r="94" spans="1:17" ht="15.6" x14ac:dyDescent="0.3">
      <c r="A94" s="24" t="s">
        <v>124</v>
      </c>
      <c r="B94" s="25" t="s">
        <v>214</v>
      </c>
      <c r="C94" s="25"/>
      <c r="D94" s="25"/>
      <c r="E94" s="25"/>
      <c r="F94" s="25"/>
      <c r="G94" s="25"/>
      <c r="H94" s="25"/>
      <c r="I94" s="25"/>
      <c r="J94" s="25"/>
      <c r="K94" s="25"/>
      <c r="L94" s="25"/>
      <c r="M94" s="25"/>
      <c r="N94" s="52">
        <v>-225</v>
      </c>
      <c r="O94" s="25"/>
      <c r="P94" s="5"/>
    </row>
    <row r="95" spans="1:17" ht="15.6" x14ac:dyDescent="0.3">
      <c r="A95" s="24" t="s">
        <v>140</v>
      </c>
      <c r="B95" s="25" t="s">
        <v>180</v>
      </c>
      <c r="C95" s="25"/>
      <c r="D95" s="25"/>
      <c r="E95" s="25"/>
      <c r="F95" s="25"/>
      <c r="G95" s="25"/>
      <c r="H95" s="25"/>
      <c r="I95" s="25"/>
      <c r="J95" s="25"/>
      <c r="K95" s="25"/>
      <c r="L95" s="25"/>
      <c r="M95" s="25"/>
      <c r="N95" s="52">
        <v>-1</v>
      </c>
      <c r="O95" s="25"/>
      <c r="P95" s="5"/>
    </row>
    <row r="96" spans="1:17" ht="15.6" x14ac:dyDescent="0.3">
      <c r="A96" s="24" t="s">
        <v>169</v>
      </c>
      <c r="B96" s="25" t="s">
        <v>215</v>
      </c>
      <c r="C96" s="25"/>
      <c r="D96" s="25"/>
      <c r="E96" s="25"/>
      <c r="F96" s="25"/>
      <c r="G96" s="25"/>
      <c r="H96" s="25"/>
      <c r="I96" s="25"/>
      <c r="J96" s="25"/>
      <c r="K96" s="25"/>
      <c r="L96" s="25"/>
      <c r="M96" s="25"/>
      <c r="N96" s="52">
        <v>-8</v>
      </c>
      <c r="O96" s="25"/>
      <c r="P96" s="5"/>
      <c r="Q96" s="104"/>
    </row>
    <row r="97" spans="1:17" ht="15.6" x14ac:dyDescent="0.3">
      <c r="A97" s="24" t="s">
        <v>170</v>
      </c>
      <c r="B97" s="25" t="s">
        <v>216</v>
      </c>
      <c r="C97" s="25"/>
      <c r="D97" s="25"/>
      <c r="E97" s="25"/>
      <c r="F97" s="25"/>
      <c r="G97" s="25"/>
      <c r="H97" s="25"/>
      <c r="I97" s="25"/>
      <c r="J97" s="25"/>
      <c r="K97" s="25"/>
      <c r="L97" s="25"/>
      <c r="M97" s="25"/>
      <c r="N97" s="52">
        <v>-9</v>
      </c>
      <c r="O97" s="25"/>
      <c r="P97" s="5"/>
      <c r="Q97" s="104"/>
    </row>
    <row r="98" spans="1:17" ht="15.6" x14ac:dyDescent="0.3">
      <c r="A98" s="24">
        <v>7</v>
      </c>
      <c r="B98" s="25" t="s">
        <v>33</v>
      </c>
      <c r="C98" s="25"/>
      <c r="D98" s="25"/>
      <c r="E98" s="25"/>
      <c r="F98" s="25"/>
      <c r="G98" s="25"/>
      <c r="H98" s="25"/>
      <c r="I98" s="25"/>
      <c r="J98" s="25"/>
      <c r="K98" s="25"/>
      <c r="L98" s="25"/>
      <c r="M98" s="25"/>
      <c r="N98" s="52">
        <v>-9</v>
      </c>
      <c r="O98" s="25"/>
      <c r="P98" s="5"/>
    </row>
    <row r="99" spans="1:17" ht="15.6" x14ac:dyDescent="0.3">
      <c r="A99" s="24">
        <f t="shared" ref="A99:A105" si="0">+A98+1</f>
        <v>8</v>
      </c>
      <c r="B99" s="25" t="s">
        <v>42</v>
      </c>
      <c r="C99" s="25"/>
      <c r="D99" s="25"/>
      <c r="E99" s="25"/>
      <c r="F99" s="25"/>
      <c r="G99" s="25"/>
      <c r="H99" s="25"/>
      <c r="I99" s="25"/>
      <c r="J99" s="25"/>
      <c r="K99" s="25"/>
      <c r="L99" s="34">
        <f>-N99</f>
        <v>0</v>
      </c>
      <c r="M99" s="25"/>
      <c r="N99" s="52">
        <v>0</v>
      </c>
      <c r="O99" s="25"/>
      <c r="P99" s="5"/>
    </row>
    <row r="100" spans="1:17" ht="15.6" x14ac:dyDescent="0.3">
      <c r="A100" s="24">
        <f t="shared" si="0"/>
        <v>9</v>
      </c>
      <c r="B100" s="25" t="s">
        <v>121</v>
      </c>
      <c r="C100" s="25"/>
      <c r="D100" s="25"/>
      <c r="E100" s="25"/>
      <c r="F100" s="25"/>
      <c r="G100" s="25"/>
      <c r="H100" s="25"/>
      <c r="I100" s="25"/>
      <c r="J100" s="25"/>
      <c r="K100" s="25"/>
      <c r="L100" s="25"/>
      <c r="M100" s="25"/>
      <c r="N100" s="52">
        <v>0</v>
      </c>
      <c r="O100" s="25"/>
      <c r="P100" s="5"/>
    </row>
    <row r="101" spans="1:17" ht="15.6" x14ac:dyDescent="0.3">
      <c r="A101" s="24">
        <f t="shared" si="0"/>
        <v>10</v>
      </c>
      <c r="B101" s="25" t="s">
        <v>182</v>
      </c>
      <c r="C101" s="25"/>
      <c r="D101" s="25"/>
      <c r="E101" s="25"/>
      <c r="F101" s="25"/>
      <c r="G101" s="25"/>
      <c r="H101" s="25"/>
      <c r="I101" s="25"/>
      <c r="J101" s="25"/>
      <c r="K101" s="25"/>
      <c r="L101" s="25"/>
      <c r="M101" s="25"/>
      <c r="N101" s="52">
        <v>0</v>
      </c>
      <c r="O101" s="25"/>
      <c r="P101" s="5"/>
    </row>
    <row r="102" spans="1:17" ht="15.6" x14ac:dyDescent="0.3">
      <c r="A102" s="24">
        <f t="shared" si="0"/>
        <v>11</v>
      </c>
      <c r="B102" s="25" t="s">
        <v>34</v>
      </c>
      <c r="C102" s="25"/>
      <c r="D102" s="25"/>
      <c r="E102" s="25"/>
      <c r="F102" s="25"/>
      <c r="G102" s="25"/>
      <c r="H102" s="25"/>
      <c r="I102" s="25"/>
      <c r="J102" s="25"/>
      <c r="K102" s="25"/>
      <c r="L102" s="25"/>
      <c r="M102" s="25"/>
      <c r="N102" s="52">
        <v>0</v>
      </c>
      <c r="O102" s="25"/>
      <c r="P102" s="5"/>
    </row>
    <row r="103" spans="1:17" ht="15.6" x14ac:dyDescent="0.3">
      <c r="A103" s="24">
        <f t="shared" si="0"/>
        <v>12</v>
      </c>
      <c r="B103" s="25" t="s">
        <v>181</v>
      </c>
      <c r="C103" s="25"/>
      <c r="D103" s="25"/>
      <c r="E103" s="25"/>
      <c r="F103" s="25"/>
      <c r="G103" s="25"/>
      <c r="H103" s="25"/>
      <c r="I103" s="25"/>
      <c r="J103" s="25"/>
      <c r="K103" s="25"/>
      <c r="L103" s="25"/>
      <c r="M103" s="25"/>
      <c r="N103" s="52">
        <v>0</v>
      </c>
      <c r="O103" s="25"/>
      <c r="P103" s="5"/>
    </row>
    <row r="104" spans="1:17" ht="15.6" x14ac:dyDescent="0.3">
      <c r="A104" s="24">
        <f t="shared" si="0"/>
        <v>13</v>
      </c>
      <c r="B104" s="25" t="s">
        <v>139</v>
      </c>
      <c r="C104" s="25"/>
      <c r="D104" s="25"/>
      <c r="E104" s="25"/>
      <c r="F104" s="25"/>
      <c r="G104" s="25"/>
      <c r="H104" s="25"/>
      <c r="I104" s="25"/>
      <c r="J104" s="25"/>
      <c r="K104" s="25"/>
      <c r="L104" s="25"/>
      <c r="M104" s="25"/>
      <c r="N104" s="52">
        <v>-49</v>
      </c>
      <c r="O104" s="25"/>
      <c r="P104" s="5"/>
    </row>
    <row r="105" spans="1:17" ht="15.6" x14ac:dyDescent="0.3">
      <c r="A105" s="24">
        <f t="shared" si="0"/>
        <v>14</v>
      </c>
      <c r="B105" s="25" t="s">
        <v>122</v>
      </c>
      <c r="C105" s="25"/>
      <c r="D105" s="25"/>
      <c r="E105" s="25"/>
      <c r="F105" s="25"/>
      <c r="G105" s="25"/>
      <c r="H105" s="25"/>
      <c r="I105" s="25"/>
      <c r="J105" s="25"/>
      <c r="K105" s="25"/>
      <c r="L105" s="25"/>
      <c r="M105" s="25"/>
      <c r="N105" s="52">
        <f>-N88-SUM(N90:N104)</f>
        <v>-1444</v>
      </c>
      <c r="O105" s="25"/>
      <c r="P105" s="5"/>
    </row>
    <row r="106" spans="1:17" ht="15.6" x14ac:dyDescent="0.3">
      <c r="A106" s="24"/>
      <c r="B106" s="113" t="s">
        <v>35</v>
      </c>
      <c r="C106" s="25"/>
      <c r="D106" s="25"/>
      <c r="E106" s="25"/>
      <c r="F106" s="25"/>
      <c r="G106" s="25"/>
      <c r="H106" s="25"/>
      <c r="I106" s="25"/>
      <c r="J106" s="25"/>
      <c r="K106" s="25"/>
      <c r="L106" s="25"/>
      <c r="M106" s="25"/>
      <c r="N106" s="57"/>
      <c r="O106" s="25"/>
      <c r="P106" s="5"/>
    </row>
    <row r="107" spans="1:17" ht="15.6" x14ac:dyDescent="0.3">
      <c r="A107" s="24"/>
      <c r="B107" s="25" t="s">
        <v>160</v>
      </c>
      <c r="C107" s="25"/>
      <c r="D107" s="25"/>
      <c r="E107" s="25"/>
      <c r="F107" s="25"/>
      <c r="G107" s="25"/>
      <c r="H107" s="25"/>
      <c r="I107" s="25"/>
      <c r="J107" s="25"/>
      <c r="K107" s="25"/>
      <c r="L107" s="34">
        <v>0</v>
      </c>
      <c r="M107" s="34"/>
      <c r="N107" s="52"/>
      <c r="O107" s="25"/>
      <c r="P107" s="5"/>
    </row>
    <row r="108" spans="1:17" ht="15.6" x14ac:dyDescent="0.3">
      <c r="A108" s="24"/>
      <c r="B108" s="25" t="s">
        <v>161</v>
      </c>
      <c r="C108" s="25"/>
      <c r="D108" s="25"/>
      <c r="E108" s="25"/>
      <c r="F108" s="25"/>
      <c r="G108" s="25"/>
      <c r="H108" s="25"/>
      <c r="I108" s="25"/>
      <c r="J108" s="25"/>
      <c r="K108" s="25"/>
      <c r="L108" s="34">
        <v>-450</v>
      </c>
      <c r="M108" s="34"/>
      <c r="N108" s="52"/>
      <c r="O108" s="25"/>
      <c r="P108" s="5"/>
    </row>
    <row r="109" spans="1:17" ht="15.6" x14ac:dyDescent="0.3">
      <c r="A109" s="24"/>
      <c r="B109" s="25" t="s">
        <v>200</v>
      </c>
      <c r="C109" s="25"/>
      <c r="D109" s="25"/>
      <c r="E109" s="25"/>
      <c r="F109" s="25"/>
      <c r="G109" s="25"/>
      <c r="H109" s="25"/>
      <c r="I109" s="25"/>
      <c r="J109" s="25"/>
      <c r="K109" s="25"/>
      <c r="L109" s="34">
        <v>-5535</v>
      </c>
      <c r="M109" s="34"/>
      <c r="N109" s="52"/>
      <c r="O109" s="25"/>
      <c r="P109" s="5"/>
    </row>
    <row r="110" spans="1:17" ht="15.6" x14ac:dyDescent="0.3">
      <c r="A110" s="24"/>
      <c r="B110" s="25" t="s">
        <v>201</v>
      </c>
      <c r="C110" s="25"/>
      <c r="D110" s="25"/>
      <c r="E110" s="25"/>
      <c r="F110" s="25"/>
      <c r="G110" s="25"/>
      <c r="H110" s="25"/>
      <c r="I110" s="25"/>
      <c r="J110" s="25"/>
      <c r="K110" s="25"/>
      <c r="L110" s="34">
        <v>-291</v>
      </c>
      <c r="M110" s="34"/>
      <c r="N110" s="52"/>
      <c r="O110" s="25"/>
      <c r="P110" s="5"/>
    </row>
    <row r="111" spans="1:17" ht="15.6" x14ac:dyDescent="0.3">
      <c r="A111" s="24"/>
      <c r="B111" s="25" t="s">
        <v>202</v>
      </c>
      <c r="C111" s="25"/>
      <c r="D111" s="25"/>
      <c r="E111" s="25"/>
      <c r="F111" s="25"/>
      <c r="G111" s="25"/>
      <c r="H111" s="25"/>
      <c r="I111" s="25"/>
      <c r="J111" s="25"/>
      <c r="K111" s="25"/>
      <c r="L111" s="34">
        <v>-291</v>
      </c>
      <c r="M111" s="34"/>
      <c r="N111" s="52"/>
      <c r="O111" s="25"/>
      <c r="P111" s="5"/>
    </row>
    <row r="112" spans="1:17" ht="15.6" x14ac:dyDescent="0.3">
      <c r="A112" s="24"/>
      <c r="B112" s="25" t="s">
        <v>36</v>
      </c>
      <c r="C112" s="25"/>
      <c r="D112" s="25"/>
      <c r="E112" s="25"/>
      <c r="F112" s="25"/>
      <c r="G112" s="25"/>
      <c r="H112" s="25"/>
      <c r="I112" s="25"/>
      <c r="J112" s="25"/>
      <c r="K112" s="25"/>
      <c r="L112" s="34">
        <f>SUM(L107:L111)</f>
        <v>-6567</v>
      </c>
      <c r="M112" s="34"/>
      <c r="N112" s="34">
        <f>SUM(N89:N110)</f>
        <v>-1811</v>
      </c>
      <c r="O112" s="25"/>
      <c r="P112" s="5"/>
    </row>
    <row r="113" spans="1:17" ht="15.6" x14ac:dyDescent="0.3">
      <c r="A113" s="24"/>
      <c r="B113" s="25" t="s">
        <v>37</v>
      </c>
      <c r="C113" s="25"/>
      <c r="D113" s="25"/>
      <c r="E113" s="25"/>
      <c r="F113" s="25"/>
      <c r="G113" s="25"/>
      <c r="H113" s="25"/>
      <c r="I113" s="25"/>
      <c r="J113" s="25"/>
      <c r="K113" s="25"/>
      <c r="L113" s="34">
        <f>L88+L112+L99</f>
        <v>0</v>
      </c>
      <c r="M113" s="34"/>
      <c r="N113" s="34">
        <f>N88+N112</f>
        <v>0</v>
      </c>
      <c r="O113" s="25"/>
      <c r="P113" s="5"/>
    </row>
    <row r="114" spans="1:17" ht="15.6" x14ac:dyDescent="0.3">
      <c r="A114" s="24"/>
      <c r="B114" s="25"/>
      <c r="C114" s="25"/>
      <c r="D114" s="25"/>
      <c r="E114" s="25"/>
      <c r="F114" s="25"/>
      <c r="G114" s="25"/>
      <c r="H114" s="25"/>
      <c r="I114" s="25"/>
      <c r="J114" s="25"/>
      <c r="K114" s="25"/>
      <c r="L114" s="34"/>
      <c r="M114" s="34"/>
      <c r="N114" s="34"/>
      <c r="O114" s="25"/>
      <c r="P114" s="5"/>
    </row>
    <row r="115" spans="1:17" ht="15.6" x14ac:dyDescent="0.3">
      <c r="A115" s="6"/>
      <c r="B115" s="8"/>
      <c r="C115" s="8"/>
      <c r="D115" s="8"/>
      <c r="E115" s="8"/>
      <c r="F115" s="8"/>
      <c r="G115" s="8"/>
      <c r="H115" s="8"/>
      <c r="I115" s="8"/>
      <c r="J115" s="8"/>
      <c r="K115" s="8"/>
      <c r="L115" s="8"/>
      <c r="M115" s="8"/>
      <c r="N115" s="51"/>
      <c r="O115" s="8"/>
      <c r="P115" s="5"/>
    </row>
    <row r="116" spans="1:17" ht="18" thickBot="1" x14ac:dyDescent="0.35">
      <c r="A116" s="96"/>
      <c r="B116" s="97" t="str">
        <f>B52</f>
        <v>FF7 INVESTOR REPORT QUARTER ENDING NOVEMBER 2009</v>
      </c>
      <c r="C116" s="98"/>
      <c r="D116" s="98"/>
      <c r="E116" s="98"/>
      <c r="F116" s="98"/>
      <c r="G116" s="98"/>
      <c r="H116" s="98"/>
      <c r="I116" s="98"/>
      <c r="J116" s="98"/>
      <c r="K116" s="98"/>
      <c r="L116" s="98"/>
      <c r="M116" s="98"/>
      <c r="N116" s="101"/>
      <c r="O116" s="100"/>
      <c r="P116" s="5"/>
    </row>
    <row r="117" spans="1:17" ht="15.6" x14ac:dyDescent="0.3">
      <c r="A117" s="2"/>
      <c r="B117" s="58" t="s">
        <v>38</v>
      </c>
      <c r="C117" s="4"/>
      <c r="D117" s="4"/>
      <c r="E117" s="4"/>
      <c r="F117" s="4"/>
      <c r="G117" s="4"/>
      <c r="H117" s="4"/>
      <c r="I117" s="4"/>
      <c r="J117" s="4"/>
      <c r="K117" s="4"/>
      <c r="L117" s="4"/>
      <c r="M117" s="4"/>
      <c r="N117" s="49"/>
      <c r="O117" s="4"/>
      <c r="P117" s="5"/>
    </row>
    <row r="118" spans="1:17" ht="15.6" x14ac:dyDescent="0.3">
      <c r="A118" s="6"/>
      <c r="B118" s="21"/>
      <c r="C118" s="8"/>
      <c r="D118" s="8"/>
      <c r="E118" s="8"/>
      <c r="F118" s="8"/>
      <c r="G118" s="8"/>
      <c r="H118" s="8"/>
      <c r="I118" s="8"/>
      <c r="J118" s="8"/>
      <c r="K118" s="8"/>
      <c r="L118" s="8"/>
      <c r="M118" s="8"/>
      <c r="N118" s="51"/>
      <c r="O118" s="8"/>
      <c r="P118" s="5"/>
    </row>
    <row r="119" spans="1:17" ht="15.6" x14ac:dyDescent="0.3">
      <c r="A119" s="6"/>
      <c r="B119" s="114" t="s">
        <v>39</v>
      </c>
      <c r="C119" s="8"/>
      <c r="D119" s="8"/>
      <c r="E119" s="8"/>
      <c r="F119" s="8"/>
      <c r="G119" s="8"/>
      <c r="H119" s="8"/>
      <c r="I119" s="8"/>
      <c r="J119" s="8"/>
      <c r="K119" s="8"/>
      <c r="L119" s="8"/>
      <c r="M119" s="8"/>
      <c r="N119" s="51"/>
      <c r="O119" s="8"/>
      <c r="P119" s="5"/>
    </row>
    <row r="120" spans="1:17" ht="15.6" x14ac:dyDescent="0.3">
      <c r="A120" s="24"/>
      <c r="B120" s="25" t="s">
        <v>40</v>
      </c>
      <c r="C120" s="25"/>
      <c r="D120" s="25"/>
      <c r="E120" s="25"/>
      <c r="F120" s="25"/>
      <c r="G120" s="25"/>
      <c r="H120" s="25"/>
      <c r="I120" s="25"/>
      <c r="J120" s="25"/>
      <c r="K120" s="25"/>
      <c r="L120" s="25"/>
      <c r="M120" s="25"/>
      <c r="N120" s="52">
        <f>N28*0.003</f>
        <v>805.80000000000007</v>
      </c>
      <c r="O120" s="25"/>
      <c r="P120" s="5"/>
    </row>
    <row r="121" spans="1:17" ht="15.6" x14ac:dyDescent="0.3">
      <c r="A121" s="24"/>
      <c r="B121" s="25" t="s">
        <v>41</v>
      </c>
      <c r="C121" s="25"/>
      <c r="D121" s="25"/>
      <c r="E121" s="25"/>
      <c r="F121" s="25"/>
      <c r="G121" s="25"/>
      <c r="H121" s="25"/>
      <c r="I121" s="25"/>
      <c r="J121" s="25"/>
      <c r="K121" s="25"/>
      <c r="L121" s="25"/>
      <c r="M121" s="25"/>
      <c r="N121" s="52">
        <v>806</v>
      </c>
      <c r="O121" s="25"/>
      <c r="P121" s="5"/>
    </row>
    <row r="122" spans="1:17" ht="15.6" x14ac:dyDescent="0.3">
      <c r="A122" s="24"/>
      <c r="B122" s="25" t="s">
        <v>132</v>
      </c>
      <c r="C122" s="25"/>
      <c r="D122" s="25"/>
      <c r="E122" s="25"/>
      <c r="F122" s="25"/>
      <c r="G122" s="25"/>
      <c r="H122" s="25"/>
      <c r="I122" s="25"/>
      <c r="J122" s="25"/>
      <c r="K122" s="25"/>
      <c r="L122" s="25"/>
      <c r="M122" s="25"/>
      <c r="N122" s="52">
        <v>0</v>
      </c>
      <c r="O122" s="25"/>
      <c r="P122" s="5"/>
    </row>
    <row r="123" spans="1:17" ht="15.6" x14ac:dyDescent="0.3">
      <c r="A123" s="24"/>
      <c r="B123" s="25" t="s">
        <v>221</v>
      </c>
      <c r="C123" s="25"/>
      <c r="D123" s="25"/>
      <c r="E123" s="25"/>
      <c r="F123" s="25"/>
      <c r="G123" s="25"/>
      <c r="H123" s="25"/>
      <c r="I123" s="25"/>
      <c r="J123" s="25"/>
      <c r="K123" s="25"/>
      <c r="L123" s="25"/>
      <c r="M123" s="25"/>
      <c r="N123" s="52">
        <v>0</v>
      </c>
      <c r="O123" s="25"/>
      <c r="P123" s="5"/>
    </row>
    <row r="124" spans="1:17" ht="15.6" x14ac:dyDescent="0.3">
      <c r="A124" s="24"/>
      <c r="B124" s="25" t="s">
        <v>222</v>
      </c>
      <c r="C124" s="25"/>
      <c r="D124" s="25"/>
      <c r="E124" s="25"/>
      <c r="F124" s="25"/>
      <c r="G124" s="25"/>
      <c r="H124" s="25"/>
      <c r="I124" s="25"/>
      <c r="J124" s="25"/>
      <c r="K124" s="25"/>
      <c r="L124" s="25"/>
      <c r="M124" s="25"/>
      <c r="N124" s="52">
        <v>0</v>
      </c>
      <c r="O124" s="25"/>
      <c r="P124" s="5"/>
    </row>
    <row r="125" spans="1:17" ht="15.6" x14ac:dyDescent="0.3">
      <c r="A125" s="24"/>
      <c r="B125" s="25" t="s">
        <v>223</v>
      </c>
      <c r="C125" s="25"/>
      <c r="D125" s="25"/>
      <c r="E125" s="25"/>
      <c r="F125" s="25"/>
      <c r="G125" s="25"/>
      <c r="H125" s="25"/>
      <c r="I125" s="25"/>
      <c r="J125" s="25"/>
      <c r="K125" s="25"/>
      <c r="L125" s="25"/>
      <c r="M125" s="25"/>
      <c r="N125" s="52">
        <v>0</v>
      </c>
      <c r="O125" s="25"/>
      <c r="P125" s="5"/>
    </row>
    <row r="126" spans="1:17" ht="15.6" x14ac:dyDescent="0.3">
      <c r="A126" s="24"/>
      <c r="B126" s="25" t="s">
        <v>42</v>
      </c>
      <c r="C126" s="25"/>
      <c r="D126" s="25"/>
      <c r="E126" s="25"/>
      <c r="F126" s="25"/>
      <c r="G126" s="25"/>
      <c r="H126" s="25"/>
      <c r="I126" s="25"/>
      <c r="J126" s="25"/>
      <c r="K126" s="25"/>
      <c r="L126" s="25"/>
      <c r="M126" s="25"/>
      <c r="N126" s="52">
        <v>0</v>
      </c>
      <c r="O126" s="25"/>
      <c r="P126" s="5"/>
    </row>
    <row r="127" spans="1:17" ht="15.6" x14ac:dyDescent="0.3">
      <c r="A127" s="24"/>
      <c r="B127" s="25" t="s">
        <v>125</v>
      </c>
      <c r="C127" s="25"/>
      <c r="D127" s="25"/>
      <c r="E127" s="25"/>
      <c r="F127" s="25"/>
      <c r="G127" s="25"/>
      <c r="H127" s="25"/>
      <c r="I127" s="25"/>
      <c r="J127" s="25"/>
      <c r="K127" s="25"/>
      <c r="L127" s="25"/>
      <c r="M127" s="25"/>
      <c r="N127" s="52">
        <v>0</v>
      </c>
      <c r="O127" s="25"/>
      <c r="P127" s="5"/>
    </row>
    <row r="128" spans="1:17" ht="15.6" x14ac:dyDescent="0.3">
      <c r="A128" s="24"/>
      <c r="B128" s="25" t="s">
        <v>225</v>
      </c>
      <c r="C128" s="25"/>
      <c r="D128" s="25"/>
      <c r="E128" s="25"/>
      <c r="F128" s="25"/>
      <c r="G128" s="25"/>
      <c r="H128" s="25"/>
      <c r="I128" s="25"/>
      <c r="J128" s="25"/>
      <c r="K128" s="25"/>
      <c r="L128" s="25"/>
      <c r="M128" s="25"/>
      <c r="N128" s="52">
        <v>0</v>
      </c>
      <c r="O128" s="25"/>
      <c r="P128" s="5"/>
      <c r="Q128" s="104"/>
    </row>
    <row r="129" spans="1:16" ht="15.6" x14ac:dyDescent="0.3">
      <c r="A129" s="24"/>
      <c r="B129" s="25" t="s">
        <v>43</v>
      </c>
      <c r="C129" s="25"/>
      <c r="D129" s="25"/>
      <c r="E129" s="25"/>
      <c r="F129" s="25"/>
      <c r="G129" s="25"/>
      <c r="H129" s="25"/>
      <c r="I129" s="25"/>
      <c r="J129" s="25"/>
      <c r="K129" s="25"/>
      <c r="L129" s="25"/>
      <c r="M129" s="25"/>
      <c r="N129" s="52">
        <f>SUM(N121:N128)</f>
        <v>806</v>
      </c>
      <c r="O129" s="25"/>
      <c r="P129" s="5"/>
    </row>
    <row r="130" spans="1:16" ht="15.6" x14ac:dyDescent="0.3">
      <c r="A130" s="24"/>
      <c r="B130" s="25"/>
      <c r="C130" s="25"/>
      <c r="D130" s="25"/>
      <c r="E130" s="25"/>
      <c r="F130" s="25"/>
      <c r="G130" s="25"/>
      <c r="H130" s="25"/>
      <c r="I130" s="25"/>
      <c r="J130" s="25"/>
      <c r="K130" s="25"/>
      <c r="L130" s="25"/>
      <c r="M130" s="25"/>
      <c r="N130" s="52"/>
      <c r="O130" s="25"/>
      <c r="P130" s="5"/>
    </row>
    <row r="131" spans="1:16" ht="15.6" x14ac:dyDescent="0.3">
      <c r="A131" s="24"/>
      <c r="B131" s="130" t="s">
        <v>179</v>
      </c>
      <c r="C131" s="25"/>
      <c r="D131" s="25"/>
      <c r="E131" s="25"/>
      <c r="F131" s="25"/>
      <c r="G131" s="25"/>
      <c r="H131" s="25"/>
      <c r="I131" s="25"/>
      <c r="J131" s="25"/>
      <c r="K131" s="25"/>
      <c r="L131" s="25"/>
      <c r="M131" s="25"/>
      <c r="N131" s="52"/>
      <c r="O131" s="25"/>
      <c r="P131" s="5"/>
    </row>
    <row r="132" spans="1:16" ht="15.6" x14ac:dyDescent="0.3">
      <c r="A132" s="24"/>
      <c r="B132" s="25" t="s">
        <v>144</v>
      </c>
      <c r="C132" s="25"/>
      <c r="D132" s="25"/>
      <c r="E132" s="25"/>
      <c r="F132" s="25"/>
      <c r="G132" s="25"/>
      <c r="H132" s="25"/>
      <c r="I132" s="25"/>
      <c r="J132" s="25"/>
      <c r="K132" s="25"/>
      <c r="L132" s="25"/>
      <c r="M132" s="25"/>
      <c r="N132" s="52">
        <v>7098</v>
      </c>
      <c r="O132" s="25"/>
      <c r="P132" s="5"/>
    </row>
    <row r="133" spans="1:16" ht="15.6" x14ac:dyDescent="0.3">
      <c r="A133" s="24"/>
      <c r="B133" s="25" t="s">
        <v>159</v>
      </c>
      <c r="C133" s="25"/>
      <c r="D133" s="25"/>
      <c r="E133" s="25"/>
      <c r="F133" s="25"/>
      <c r="G133" s="25"/>
      <c r="H133" s="25"/>
      <c r="I133" s="25"/>
      <c r="J133" s="25"/>
      <c r="K133" s="25"/>
      <c r="L133" s="25"/>
      <c r="M133" s="25"/>
      <c r="N133" s="52">
        <v>0</v>
      </c>
      <c r="O133" s="25"/>
      <c r="P133" s="5"/>
    </row>
    <row r="134" spans="1:16" ht="15.6" x14ac:dyDescent="0.3">
      <c r="A134" s="24"/>
      <c r="B134" s="25" t="s">
        <v>183</v>
      </c>
      <c r="C134" s="25"/>
      <c r="D134" s="25"/>
      <c r="E134" s="25"/>
      <c r="F134" s="25"/>
      <c r="G134" s="25"/>
      <c r="H134" s="25"/>
      <c r="I134" s="25"/>
      <c r="J134" s="25"/>
      <c r="K134" s="25"/>
      <c r="L134" s="25"/>
      <c r="M134" s="25"/>
      <c r="N134" s="52">
        <v>3364</v>
      </c>
      <c r="O134" s="25"/>
      <c r="P134" s="5"/>
    </row>
    <row r="135" spans="1:16" ht="15.6" x14ac:dyDescent="0.3">
      <c r="A135" s="24"/>
      <c r="B135" s="25"/>
      <c r="C135" s="25"/>
      <c r="D135" s="25"/>
      <c r="E135" s="25"/>
      <c r="F135" s="25"/>
      <c r="G135" s="25"/>
      <c r="H135" s="25"/>
      <c r="I135" s="25"/>
      <c r="J135" s="25"/>
      <c r="K135" s="25"/>
      <c r="L135" s="25"/>
      <c r="M135" s="25"/>
      <c r="N135" s="52"/>
      <c r="O135" s="25"/>
      <c r="P135" s="5"/>
    </row>
    <row r="136" spans="1:16" ht="15.6" x14ac:dyDescent="0.3">
      <c r="A136" s="24"/>
      <c r="B136" s="25"/>
      <c r="C136" s="25"/>
      <c r="D136" s="25"/>
      <c r="E136" s="25"/>
      <c r="F136" s="25"/>
      <c r="G136" s="25"/>
      <c r="H136" s="25"/>
      <c r="I136" s="25"/>
      <c r="J136" s="25"/>
      <c r="K136" s="25"/>
      <c r="L136" s="25"/>
      <c r="M136" s="25"/>
      <c r="N136" s="59"/>
      <c r="O136" s="25"/>
      <c r="P136" s="5"/>
    </row>
    <row r="137" spans="1:16" ht="15.6" x14ac:dyDescent="0.3">
      <c r="A137" s="6"/>
      <c r="B137" s="114" t="s">
        <v>22</v>
      </c>
      <c r="C137" s="8"/>
      <c r="D137" s="8"/>
      <c r="E137" s="8"/>
      <c r="F137" s="8"/>
      <c r="G137" s="8"/>
      <c r="H137" s="8"/>
      <c r="I137" s="8"/>
      <c r="J137" s="8"/>
      <c r="K137" s="8"/>
      <c r="L137" s="8"/>
      <c r="M137" s="8"/>
      <c r="N137" s="51"/>
      <c r="O137" s="8"/>
      <c r="P137" s="5"/>
    </row>
    <row r="138" spans="1:16" ht="15.6" x14ac:dyDescent="0.3">
      <c r="A138" s="24"/>
      <c r="B138" s="25" t="s">
        <v>44</v>
      </c>
      <c r="C138" s="25"/>
      <c r="D138" s="25"/>
      <c r="E138" s="25"/>
      <c r="F138" s="25"/>
      <c r="G138" s="25"/>
      <c r="H138" s="25"/>
      <c r="I138" s="25"/>
      <c r="J138" s="25"/>
      <c r="K138" s="25"/>
      <c r="L138" s="25"/>
      <c r="M138" s="25"/>
      <c r="N138" s="57" t="s">
        <v>117</v>
      </c>
      <c r="O138" s="25"/>
      <c r="P138" s="5"/>
    </row>
    <row r="139" spans="1:16" ht="15.6" x14ac:dyDescent="0.3">
      <c r="A139" s="24"/>
      <c r="B139" s="25" t="s">
        <v>45</v>
      </c>
      <c r="C139" s="175"/>
      <c r="D139" s="175"/>
      <c r="E139" s="175"/>
      <c r="F139" s="175"/>
      <c r="G139" s="175"/>
      <c r="H139" s="175"/>
      <c r="I139" s="175"/>
      <c r="J139" s="175"/>
      <c r="K139" s="175"/>
      <c r="L139" s="175"/>
      <c r="M139" s="175"/>
      <c r="N139" s="57" t="s">
        <v>117</v>
      </c>
      <c r="O139" s="25"/>
      <c r="P139" s="5"/>
    </row>
    <row r="140" spans="1:16" ht="15.6" x14ac:dyDescent="0.3">
      <c r="A140" s="24"/>
      <c r="B140" s="25" t="s">
        <v>46</v>
      </c>
      <c r="C140" s="25"/>
      <c r="D140" s="25"/>
      <c r="E140" s="25"/>
      <c r="F140" s="25"/>
      <c r="G140" s="25"/>
      <c r="H140" s="25"/>
      <c r="I140" s="25"/>
      <c r="J140" s="25"/>
      <c r="K140" s="25"/>
      <c r="L140" s="25"/>
      <c r="M140" s="25"/>
      <c r="N140" s="57" t="s">
        <v>117</v>
      </c>
      <c r="O140" s="25"/>
      <c r="P140" s="5"/>
    </row>
    <row r="141" spans="1:16" ht="15.6" x14ac:dyDescent="0.3">
      <c r="A141" s="24"/>
      <c r="B141" s="25" t="s">
        <v>47</v>
      </c>
      <c r="C141" s="25"/>
      <c r="D141" s="25"/>
      <c r="E141" s="25"/>
      <c r="F141" s="25"/>
      <c r="G141" s="25"/>
      <c r="H141" s="25"/>
      <c r="I141" s="25"/>
      <c r="J141" s="25"/>
      <c r="K141" s="25"/>
      <c r="L141" s="25"/>
      <c r="M141" s="25"/>
      <c r="N141" s="57" t="s">
        <v>117</v>
      </c>
      <c r="O141" s="25"/>
      <c r="P141" s="5"/>
    </row>
    <row r="142" spans="1:16" ht="15.6" x14ac:dyDescent="0.3">
      <c r="A142" s="24"/>
      <c r="B142" s="25"/>
      <c r="C142" s="25"/>
      <c r="D142" s="25"/>
      <c r="E142" s="25"/>
      <c r="F142" s="25"/>
      <c r="G142" s="25"/>
      <c r="H142" s="25"/>
      <c r="I142" s="25"/>
      <c r="J142" s="25"/>
      <c r="K142" s="25"/>
      <c r="L142" s="25"/>
      <c r="M142" s="25"/>
      <c r="N142" s="59"/>
      <c r="O142" s="25"/>
      <c r="P142" s="5"/>
    </row>
    <row r="143" spans="1:16" ht="15.6" x14ac:dyDescent="0.3">
      <c r="A143" s="6"/>
      <c r="B143" s="114" t="s">
        <v>48</v>
      </c>
      <c r="C143" s="8"/>
      <c r="D143" s="8"/>
      <c r="E143" s="8"/>
      <c r="F143" s="8"/>
      <c r="G143" s="8"/>
      <c r="H143" s="8"/>
      <c r="I143" s="8"/>
      <c r="J143" s="8"/>
      <c r="K143" s="8"/>
      <c r="L143" s="8"/>
      <c r="M143" s="8"/>
      <c r="N143" s="61"/>
      <c r="O143" s="8"/>
      <c r="P143" s="5"/>
    </row>
    <row r="144" spans="1:16" ht="15.6" x14ac:dyDescent="0.3">
      <c r="A144" s="24"/>
      <c r="B144" s="25" t="s">
        <v>49</v>
      </c>
      <c r="C144" s="25"/>
      <c r="D144" s="25"/>
      <c r="E144" s="25"/>
      <c r="F144" s="25"/>
      <c r="G144" s="25"/>
      <c r="H144" s="25"/>
      <c r="I144" s="25"/>
      <c r="J144" s="25"/>
      <c r="K144" s="25"/>
      <c r="L144" s="25"/>
      <c r="M144" s="25"/>
      <c r="N144" s="52">
        <v>0</v>
      </c>
      <c r="O144" s="25"/>
      <c r="P144" s="5"/>
    </row>
    <row r="145" spans="1:256" ht="15.6" x14ac:dyDescent="0.3">
      <c r="A145" s="24"/>
      <c r="B145" s="25" t="s">
        <v>50</v>
      </c>
      <c r="C145" s="25"/>
      <c r="D145" s="25"/>
      <c r="E145" s="25"/>
      <c r="F145" s="25"/>
      <c r="G145" s="25"/>
      <c r="H145" s="25"/>
      <c r="I145" s="25"/>
      <c r="J145" s="25"/>
      <c r="K145" s="25"/>
      <c r="L145" s="25"/>
      <c r="M145" s="25"/>
      <c r="N145" s="52">
        <v>0</v>
      </c>
      <c r="O145" s="25"/>
      <c r="P145" s="5"/>
    </row>
    <row r="146" spans="1:256" ht="15.6" x14ac:dyDescent="0.3">
      <c r="A146" s="24"/>
      <c r="B146" s="25" t="s">
        <v>51</v>
      </c>
      <c r="C146" s="25"/>
      <c r="D146" s="25"/>
      <c r="E146" s="25"/>
      <c r="F146" s="25"/>
      <c r="G146" s="25"/>
      <c r="H146" s="25"/>
      <c r="I146" s="25"/>
      <c r="J146" s="25"/>
      <c r="K146" s="25"/>
      <c r="L146" s="25"/>
      <c r="M146" s="25"/>
      <c r="N146" s="52">
        <f>N145+N144</f>
        <v>0</v>
      </c>
      <c r="O146" s="25"/>
      <c r="P146" s="5"/>
    </row>
    <row r="147" spans="1:256" ht="15.6" x14ac:dyDescent="0.3">
      <c r="A147" s="24"/>
      <c r="B147" s="25" t="s">
        <v>264</v>
      </c>
      <c r="C147" s="25"/>
      <c r="D147" s="25"/>
      <c r="E147" s="25"/>
      <c r="F147" s="25"/>
      <c r="G147" s="25"/>
      <c r="H147" s="25"/>
      <c r="I147" s="25"/>
      <c r="J147" s="25"/>
      <c r="K147" s="25"/>
      <c r="L147" s="25"/>
      <c r="M147" s="25"/>
      <c r="N147" s="52">
        <v>0</v>
      </c>
      <c r="O147" s="25"/>
      <c r="P147" s="5"/>
    </row>
    <row r="148" spans="1:256" ht="15.6" x14ac:dyDescent="0.3">
      <c r="A148" s="24"/>
      <c r="B148" s="25" t="s">
        <v>52</v>
      </c>
      <c r="C148" s="25"/>
      <c r="D148" s="25"/>
      <c r="E148" s="25"/>
      <c r="F148" s="25"/>
      <c r="G148" s="25"/>
      <c r="H148" s="25"/>
      <c r="I148" s="25"/>
      <c r="J148" s="25"/>
      <c r="K148" s="25"/>
      <c r="L148" s="25"/>
      <c r="M148" s="25"/>
      <c r="N148" s="52">
        <f>N146+N147</f>
        <v>0</v>
      </c>
      <c r="O148" s="25"/>
      <c r="P148" s="5"/>
    </row>
    <row r="149" spans="1:256" ht="16.2" thickBot="1" x14ac:dyDescent="0.35">
      <c r="A149" s="24"/>
      <c r="B149" s="25"/>
      <c r="C149" s="25"/>
      <c r="D149" s="25"/>
      <c r="E149" s="25"/>
      <c r="F149" s="25"/>
      <c r="G149" s="25"/>
      <c r="H149" s="25"/>
      <c r="I149" s="25"/>
      <c r="J149" s="25"/>
      <c r="K149" s="25"/>
      <c r="L149" s="25"/>
      <c r="M149" s="25"/>
      <c r="N149" s="59"/>
      <c r="O149" s="25"/>
      <c r="P149" s="5"/>
    </row>
    <row r="150" spans="1:256" ht="15.6" x14ac:dyDescent="0.3">
      <c r="A150" s="2"/>
      <c r="B150" s="4"/>
      <c r="C150" s="4"/>
      <c r="D150" s="4"/>
      <c r="E150" s="4"/>
      <c r="F150" s="4"/>
      <c r="G150" s="4"/>
      <c r="H150" s="4"/>
      <c r="I150" s="4"/>
      <c r="J150" s="4"/>
      <c r="K150" s="4"/>
      <c r="L150" s="4"/>
      <c r="M150" s="4"/>
      <c r="N150" s="49"/>
      <c r="O150" s="4"/>
      <c r="P150" s="5"/>
    </row>
    <row r="151" spans="1:256" ht="15.6" x14ac:dyDescent="0.3">
      <c r="A151" s="6"/>
      <c r="B151" s="114" t="s">
        <v>53</v>
      </c>
      <c r="C151" s="8"/>
      <c r="D151" s="8"/>
      <c r="E151" s="8"/>
      <c r="F151" s="8"/>
      <c r="G151" s="8"/>
      <c r="H151" s="8"/>
      <c r="I151" s="8"/>
      <c r="J151" s="8"/>
      <c r="K151" s="8"/>
      <c r="L151" s="8"/>
      <c r="M151" s="8"/>
      <c r="N151" s="51"/>
      <c r="O151" s="8"/>
      <c r="P151" s="5"/>
    </row>
    <row r="152" spans="1:256" ht="15.6" x14ac:dyDescent="0.3">
      <c r="A152" s="6"/>
      <c r="B152" s="21"/>
      <c r="C152" s="8"/>
      <c r="D152" s="8"/>
      <c r="E152" s="8"/>
      <c r="F152" s="8"/>
      <c r="G152" s="8"/>
      <c r="H152" s="8"/>
      <c r="I152" s="8"/>
      <c r="J152" s="8"/>
      <c r="K152" s="8"/>
      <c r="L152" s="8"/>
      <c r="M152" s="8"/>
      <c r="N152" s="51"/>
      <c r="O152" s="8"/>
      <c r="P152" s="5"/>
    </row>
    <row r="153" spans="1:256" ht="15.6" x14ac:dyDescent="0.3">
      <c r="A153" s="24"/>
      <c r="B153" s="25" t="s">
        <v>234</v>
      </c>
      <c r="C153" s="25"/>
      <c r="D153" s="25"/>
      <c r="E153" s="25"/>
      <c r="F153" s="25"/>
      <c r="G153" s="25"/>
      <c r="H153" s="25"/>
      <c r="I153" s="25"/>
      <c r="J153" s="25"/>
      <c r="K153" s="25"/>
      <c r="L153" s="25"/>
      <c r="M153" s="25"/>
      <c r="N153" s="52">
        <f>N57</f>
        <v>125315</v>
      </c>
      <c r="O153" s="25"/>
      <c r="P153" s="5"/>
      <c r="Q153" s="104"/>
    </row>
    <row r="154" spans="1:256" ht="15.6" x14ac:dyDescent="0.3">
      <c r="A154" s="24"/>
      <c r="B154" s="25" t="s">
        <v>54</v>
      </c>
      <c r="C154" s="25"/>
      <c r="D154" s="25"/>
      <c r="E154" s="25"/>
      <c r="F154" s="25"/>
      <c r="G154" s="25"/>
      <c r="H154" s="25"/>
      <c r="I154" s="25"/>
      <c r="J154" s="25"/>
      <c r="K154" s="25"/>
      <c r="L154" s="25"/>
      <c r="M154" s="25"/>
      <c r="N154" s="52">
        <f>N73</f>
        <v>125315</v>
      </c>
      <c r="O154" s="25"/>
      <c r="P154" s="5"/>
    </row>
    <row r="155" spans="1:256" ht="16.2" thickBot="1" x14ac:dyDescent="0.35">
      <c r="A155" s="24"/>
      <c r="B155" s="25"/>
      <c r="C155" s="25"/>
      <c r="D155" s="25"/>
      <c r="E155" s="25"/>
      <c r="F155" s="25"/>
      <c r="G155" s="25"/>
      <c r="H155" s="25"/>
      <c r="I155" s="25"/>
      <c r="J155" s="25"/>
      <c r="K155" s="25"/>
      <c r="L155" s="25"/>
      <c r="M155" s="25"/>
      <c r="N155" s="59"/>
      <c r="O155" s="25"/>
      <c r="P155" s="5"/>
    </row>
    <row r="156" spans="1:256" s="150" customFormat="1" ht="15.6" x14ac:dyDescent="0.3">
      <c r="A156" s="2"/>
      <c r="B156" s="4"/>
      <c r="C156" s="4"/>
      <c r="D156" s="4"/>
      <c r="E156" s="4"/>
      <c r="F156" s="4"/>
      <c r="G156" s="4"/>
      <c r="H156" s="4"/>
      <c r="I156" s="4"/>
      <c r="J156" s="4"/>
      <c r="K156" s="4"/>
      <c r="L156" s="4"/>
      <c r="M156" s="4"/>
      <c r="N156" s="49"/>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s="153" customFormat="1" ht="15.6" x14ac:dyDescent="0.3">
      <c r="A157" s="6"/>
      <c r="B157" s="160" t="s">
        <v>205</v>
      </c>
      <c r="C157" s="151"/>
      <c r="D157" s="151"/>
      <c r="E157" s="151"/>
      <c r="F157" s="151"/>
      <c r="G157" s="151"/>
      <c r="H157" s="151"/>
      <c r="I157" s="151"/>
      <c r="J157" s="151"/>
      <c r="K157" s="151"/>
      <c r="L157" s="151"/>
      <c r="M157" s="151"/>
      <c r="N157" s="152"/>
      <c r="O157" s="151"/>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ht="16.2" thickBot="1" x14ac:dyDescent="0.35">
      <c r="A158" s="6"/>
      <c r="B158" s="151"/>
      <c r="C158" s="151"/>
      <c r="D158" s="151"/>
      <c r="E158" s="151"/>
      <c r="F158" s="151"/>
      <c r="G158" s="151"/>
      <c r="H158" s="151"/>
      <c r="I158" s="151"/>
      <c r="J158" s="151"/>
      <c r="K158" s="151"/>
      <c r="L158" s="151"/>
      <c r="M158" s="151"/>
      <c r="N158" s="152"/>
      <c r="O158" s="151"/>
      <c r="P158" s="5"/>
    </row>
    <row r="159" spans="1:256" s="156" customFormat="1" ht="15.6" x14ac:dyDescent="0.3">
      <c r="A159" s="2"/>
      <c r="B159" s="4" t="s">
        <v>206</v>
      </c>
      <c r="C159" s="4"/>
      <c r="D159" s="4"/>
      <c r="E159" s="4"/>
      <c r="F159" s="4"/>
      <c r="G159" s="4"/>
      <c r="H159" s="4"/>
      <c r="I159" s="4"/>
      <c r="J159" s="4"/>
      <c r="K159" s="4"/>
      <c r="L159" s="4"/>
      <c r="M159" s="4"/>
      <c r="N159" s="185">
        <f>+'Aug 09'!N162</f>
        <v>503</v>
      </c>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53" customFormat="1" ht="15.6" x14ac:dyDescent="0.3">
      <c r="A160" s="181"/>
      <c r="B160" s="182" t="s">
        <v>207</v>
      </c>
      <c r="C160" s="182"/>
      <c r="D160" s="182"/>
      <c r="E160" s="182"/>
      <c r="F160" s="182"/>
      <c r="G160" s="182"/>
      <c r="H160" s="182"/>
      <c r="I160" s="182"/>
      <c r="J160" s="182"/>
      <c r="K160" s="182"/>
      <c r="L160" s="182"/>
      <c r="M160" s="182"/>
      <c r="N160" s="183">
        <v>2</v>
      </c>
      <c r="O160" s="18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63" customFormat="1" ht="15.6" x14ac:dyDescent="0.3">
      <c r="A161" s="181"/>
      <c r="B161" s="182" t="s">
        <v>208</v>
      </c>
      <c r="C161" s="182"/>
      <c r="D161" s="182"/>
      <c r="E161" s="182"/>
      <c r="F161" s="182"/>
      <c r="G161" s="182"/>
      <c r="H161" s="182"/>
      <c r="I161" s="182"/>
      <c r="J161" s="182"/>
      <c r="K161" s="182"/>
      <c r="L161" s="182"/>
      <c r="M161" s="182"/>
      <c r="N161" s="183">
        <v>0</v>
      </c>
      <c r="O161" s="18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5.6" x14ac:dyDescent="0.3">
      <c r="A162" s="181"/>
      <c r="B162" s="182" t="s">
        <v>217</v>
      </c>
      <c r="C162" s="182"/>
      <c r="D162" s="182"/>
      <c r="E162" s="182"/>
      <c r="F162" s="182"/>
      <c r="G162" s="182"/>
      <c r="H162" s="182"/>
      <c r="I162" s="182"/>
      <c r="J162" s="182"/>
      <c r="K162" s="182"/>
      <c r="L162" s="182"/>
      <c r="M162" s="182"/>
      <c r="N162" s="183">
        <f>N159-N160-N161</f>
        <v>501</v>
      </c>
      <c r="O162" s="18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59" customFormat="1" ht="16.2" thickBot="1" x14ac:dyDescent="0.35">
      <c r="A163" s="6"/>
      <c r="B163" s="151"/>
      <c r="C163" s="151"/>
      <c r="D163" s="151"/>
      <c r="E163" s="151"/>
      <c r="F163" s="151"/>
      <c r="G163" s="151"/>
      <c r="H163" s="151"/>
      <c r="I163" s="151"/>
      <c r="J163" s="151"/>
      <c r="K163" s="151"/>
      <c r="L163" s="151"/>
      <c r="M163" s="151"/>
      <c r="N163" s="165"/>
      <c r="O163" s="151"/>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s="173" customFormat="1" ht="15.6" x14ac:dyDescent="0.3">
      <c r="A164" s="168"/>
      <c r="B164" s="169"/>
      <c r="C164" s="169"/>
      <c r="D164" s="169"/>
      <c r="E164" s="169"/>
      <c r="F164" s="169"/>
      <c r="G164" s="169"/>
      <c r="H164" s="169"/>
      <c r="I164" s="169"/>
      <c r="J164" s="169"/>
      <c r="K164" s="169"/>
      <c r="L164" s="169"/>
      <c r="M164" s="169"/>
      <c r="N164" s="170"/>
      <c r="O164" s="169"/>
      <c r="P164" s="172"/>
    </row>
    <row r="165" spans="1:256" ht="15.6" x14ac:dyDescent="0.3">
      <c r="A165" s="6"/>
      <c r="B165" s="114" t="s">
        <v>55</v>
      </c>
      <c r="C165" s="112"/>
      <c r="D165" s="115"/>
      <c r="E165" s="115"/>
      <c r="F165" s="115"/>
      <c r="G165" s="115"/>
      <c r="H165" s="115"/>
      <c r="I165" s="115"/>
      <c r="J165" s="115"/>
      <c r="K165" s="115" t="s">
        <v>98</v>
      </c>
      <c r="L165" s="115" t="s">
        <v>226</v>
      </c>
      <c r="M165" s="106"/>
      <c r="N165" s="116" t="s">
        <v>114</v>
      </c>
      <c r="O165" s="10"/>
      <c r="P165" s="5"/>
    </row>
    <row r="166" spans="1:256" ht="15.6" x14ac:dyDescent="0.3">
      <c r="A166" s="24"/>
      <c r="B166" s="25" t="s">
        <v>56</v>
      </c>
      <c r="C166" s="25"/>
      <c r="D166" s="25"/>
      <c r="E166" s="25"/>
      <c r="F166" s="25"/>
      <c r="G166" s="25"/>
      <c r="H166" s="25"/>
      <c r="I166" s="25"/>
      <c r="J166" s="25"/>
      <c r="K166" s="52" t="s">
        <v>117</v>
      </c>
      <c r="L166" s="40" t="s">
        <v>117</v>
      </c>
      <c r="M166" s="25"/>
      <c r="N166" s="52"/>
      <c r="O166" s="25"/>
      <c r="P166" s="5"/>
    </row>
    <row r="167" spans="1:256" ht="15.6" x14ac:dyDescent="0.3">
      <c r="A167" s="24"/>
      <c r="B167" s="25" t="s">
        <v>57</v>
      </c>
      <c r="C167" s="25"/>
      <c r="D167" s="25"/>
      <c r="E167" s="25"/>
      <c r="F167" s="25"/>
      <c r="G167" s="25"/>
      <c r="H167" s="25"/>
      <c r="I167" s="25"/>
      <c r="J167" s="25"/>
      <c r="K167" s="52">
        <v>0</v>
      </c>
      <c r="L167" s="52">
        <f>+'Aug 09'!L169</f>
        <v>10232</v>
      </c>
      <c r="M167" s="25"/>
      <c r="N167" s="52">
        <f>K167+L167</f>
        <v>10232</v>
      </c>
      <c r="O167" s="25"/>
      <c r="P167" s="5"/>
    </row>
    <row r="168" spans="1:256" ht="15.6" x14ac:dyDescent="0.3">
      <c r="A168" s="24"/>
      <c r="B168" s="25" t="s">
        <v>58</v>
      </c>
      <c r="C168" s="25"/>
      <c r="D168" s="25"/>
      <c r="E168" s="25"/>
      <c r="F168" s="25"/>
      <c r="G168" s="25"/>
      <c r="H168" s="25"/>
      <c r="I168" s="25"/>
      <c r="J168" s="25"/>
      <c r="K168" s="34">
        <v>0</v>
      </c>
      <c r="L168" s="34">
        <f>-L108</f>
        <v>450</v>
      </c>
      <c r="M168" s="25"/>
      <c r="N168" s="52">
        <f>K168+L168</f>
        <v>450</v>
      </c>
      <c r="O168" s="25"/>
      <c r="P168" s="5"/>
    </row>
    <row r="169" spans="1:256" ht="15.6" x14ac:dyDescent="0.3">
      <c r="A169" s="24"/>
      <c r="B169" s="25" t="s">
        <v>59</v>
      </c>
      <c r="C169" s="25"/>
      <c r="D169" s="25"/>
      <c r="E169" s="25"/>
      <c r="F169" s="25"/>
      <c r="G169" s="25"/>
      <c r="H169" s="25"/>
      <c r="I169" s="25"/>
      <c r="J169" s="25"/>
      <c r="K169" s="52">
        <f>K167+K168</f>
        <v>0</v>
      </c>
      <c r="L169" s="52">
        <f>L168+L167</f>
        <v>10682</v>
      </c>
      <c r="M169" s="25"/>
      <c r="N169" s="52">
        <f>K169+L169</f>
        <v>10682</v>
      </c>
      <c r="O169" s="25"/>
      <c r="P169" s="5"/>
    </row>
    <row r="170" spans="1:256" ht="15.6" x14ac:dyDescent="0.3">
      <c r="A170" s="24"/>
      <c r="B170" s="25" t="s">
        <v>60</v>
      </c>
      <c r="C170" s="25"/>
      <c r="D170" s="25"/>
      <c r="E170" s="25"/>
      <c r="F170" s="25"/>
      <c r="G170" s="25"/>
      <c r="H170" s="25"/>
      <c r="I170" s="25"/>
      <c r="J170" s="25"/>
      <c r="K170" s="52" t="s">
        <v>117</v>
      </c>
      <c r="L170" s="40" t="s">
        <v>117</v>
      </c>
      <c r="M170" s="25"/>
      <c r="N170" s="52"/>
      <c r="O170" s="25"/>
      <c r="P170" s="5"/>
    </row>
    <row r="171" spans="1:256" ht="16.2" thickBot="1" x14ac:dyDescent="0.35">
      <c r="A171" s="24"/>
      <c r="B171" s="25"/>
      <c r="C171" s="25"/>
      <c r="D171" s="25"/>
      <c r="E171" s="25"/>
      <c r="F171" s="25"/>
      <c r="G171" s="25"/>
      <c r="H171" s="25"/>
      <c r="I171" s="25"/>
      <c r="J171" s="25"/>
      <c r="K171" s="25"/>
      <c r="L171" s="25"/>
      <c r="M171" s="25"/>
      <c r="N171" s="59"/>
      <c r="O171" s="25"/>
      <c r="P171" s="5"/>
    </row>
    <row r="172" spans="1:256" ht="15.6" x14ac:dyDescent="0.3">
      <c r="A172" s="2"/>
      <c r="B172" s="4"/>
      <c r="C172" s="4"/>
      <c r="D172" s="4"/>
      <c r="E172" s="4"/>
      <c r="F172" s="4"/>
      <c r="G172" s="4"/>
      <c r="H172" s="4"/>
      <c r="I172" s="4"/>
      <c r="J172" s="4"/>
      <c r="K172" s="4"/>
      <c r="L172" s="4"/>
      <c r="M172" s="4"/>
      <c r="N172" s="49"/>
      <c r="O172" s="4"/>
      <c r="P172" s="5"/>
    </row>
    <row r="173" spans="1:256" ht="15.6" x14ac:dyDescent="0.3">
      <c r="A173" s="6"/>
      <c r="B173" s="114" t="s">
        <v>61</v>
      </c>
      <c r="C173" s="8"/>
      <c r="D173" s="8"/>
      <c r="E173" s="8"/>
      <c r="F173" s="8"/>
      <c r="G173" s="8"/>
      <c r="H173" s="8"/>
      <c r="I173" s="8"/>
      <c r="J173" s="8"/>
      <c r="K173" s="8"/>
      <c r="L173" s="8"/>
      <c r="M173" s="8"/>
      <c r="N173" s="63"/>
      <c r="O173" s="8"/>
      <c r="P173" s="5"/>
    </row>
    <row r="174" spans="1:256" ht="15.6" x14ac:dyDescent="0.3">
      <c r="A174" s="24"/>
      <c r="B174" s="25" t="s">
        <v>62</v>
      </c>
      <c r="C174" s="25"/>
      <c r="D174" s="25"/>
      <c r="E174" s="25"/>
      <c r="F174" s="25"/>
      <c r="G174" s="25"/>
      <c r="H174" s="25"/>
      <c r="I174" s="25"/>
      <c r="J174" s="25"/>
      <c r="K174" s="25"/>
      <c r="L174" s="25"/>
      <c r="M174" s="25"/>
      <c r="N174" s="57">
        <f>(N88+N90+N91+N92+N93)/-N94</f>
        <v>7.7555555555555555</v>
      </c>
      <c r="O174" s="25" t="s">
        <v>115</v>
      </c>
      <c r="P174" s="5"/>
    </row>
    <row r="175" spans="1:256" ht="15.6" x14ac:dyDescent="0.3">
      <c r="A175" s="24"/>
      <c r="B175" s="25" t="s">
        <v>63</v>
      </c>
      <c r="C175" s="25"/>
      <c r="D175" s="25"/>
      <c r="E175" s="25"/>
      <c r="F175" s="25"/>
      <c r="G175" s="25"/>
      <c r="H175" s="25"/>
      <c r="I175" s="25"/>
      <c r="J175" s="25"/>
      <c r="K175" s="25"/>
      <c r="L175" s="25"/>
      <c r="M175" s="25"/>
      <c r="N175" s="64">
        <v>1.58</v>
      </c>
      <c r="O175" s="25" t="s">
        <v>115</v>
      </c>
      <c r="P175" s="5"/>
    </row>
    <row r="176" spans="1:256" ht="15.6" x14ac:dyDescent="0.3">
      <c r="A176" s="24"/>
      <c r="B176" s="25" t="s">
        <v>64</v>
      </c>
      <c r="C176" s="25"/>
      <c r="D176" s="25"/>
      <c r="E176" s="25"/>
      <c r="F176" s="25"/>
      <c r="G176" s="25"/>
      <c r="H176" s="25"/>
      <c r="I176" s="25"/>
      <c r="J176" s="25"/>
      <c r="K176" s="25"/>
      <c r="L176" s="25"/>
      <c r="M176" s="25"/>
      <c r="N176" s="57">
        <f>(N88+N90+N91+N92+N93+N94)/-N96</f>
        <v>190</v>
      </c>
      <c r="O176" s="25" t="s">
        <v>115</v>
      </c>
      <c r="P176" s="5"/>
    </row>
    <row r="177" spans="1:16" ht="15.6" x14ac:dyDescent="0.3">
      <c r="A177" s="24"/>
      <c r="B177" s="25" t="s">
        <v>65</v>
      </c>
      <c r="C177" s="25"/>
      <c r="D177" s="25"/>
      <c r="E177" s="25"/>
      <c r="F177" s="25"/>
      <c r="G177" s="25"/>
      <c r="H177" s="25"/>
      <c r="I177" s="25"/>
      <c r="J177" s="25"/>
      <c r="K177" s="25"/>
      <c r="L177" s="25"/>
      <c r="M177" s="25"/>
      <c r="N177" s="64">
        <v>27.4</v>
      </c>
      <c r="O177" s="25" t="s">
        <v>115</v>
      </c>
      <c r="P177" s="5"/>
    </row>
    <row r="178" spans="1:16" ht="15.6" x14ac:dyDescent="0.3">
      <c r="A178" s="24"/>
      <c r="B178" s="25" t="s">
        <v>166</v>
      </c>
      <c r="C178" s="25"/>
      <c r="D178" s="25"/>
      <c r="E178" s="25"/>
      <c r="F178" s="25"/>
      <c r="G178" s="25"/>
      <c r="H178" s="25"/>
      <c r="I178" s="25"/>
      <c r="J178" s="25"/>
      <c r="K178" s="25"/>
      <c r="L178" s="25"/>
      <c r="M178" s="25"/>
      <c r="N178" s="57">
        <f>(N88+N90+N91+N92+N93+N94+N96)/-N97</f>
        <v>168</v>
      </c>
      <c r="O178" s="25" t="s">
        <v>115</v>
      </c>
      <c r="P178" s="5"/>
    </row>
    <row r="179" spans="1:16" ht="15.6" x14ac:dyDescent="0.3">
      <c r="A179" s="24"/>
      <c r="B179" s="25" t="s">
        <v>167</v>
      </c>
      <c r="C179" s="25"/>
      <c r="D179" s="25"/>
      <c r="E179" s="25"/>
      <c r="F179" s="25"/>
      <c r="G179" s="25"/>
      <c r="H179" s="25"/>
      <c r="I179" s="25"/>
      <c r="J179" s="25"/>
      <c r="K179" s="25"/>
      <c r="L179" s="25"/>
      <c r="M179" s="25"/>
      <c r="N179" s="64">
        <v>25.79</v>
      </c>
      <c r="O179" s="25" t="s">
        <v>115</v>
      </c>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24"/>
      <c r="B181" s="25"/>
      <c r="C181" s="25"/>
      <c r="D181" s="25"/>
      <c r="E181" s="25"/>
      <c r="F181" s="25"/>
      <c r="G181" s="25"/>
      <c r="H181" s="25"/>
      <c r="I181" s="25"/>
      <c r="J181" s="25"/>
      <c r="K181" s="25"/>
      <c r="L181" s="25"/>
      <c r="M181" s="25"/>
      <c r="N181" s="25"/>
      <c r="O181" s="25"/>
      <c r="P181" s="5"/>
    </row>
    <row r="182" spans="1:16" ht="15.6" x14ac:dyDescent="0.3">
      <c r="A182" s="6"/>
      <c r="B182" s="8"/>
      <c r="C182" s="8"/>
      <c r="D182" s="8"/>
      <c r="E182" s="8"/>
      <c r="F182" s="8"/>
      <c r="G182" s="8"/>
      <c r="H182" s="8"/>
      <c r="I182" s="8"/>
      <c r="J182" s="8"/>
      <c r="K182" s="8"/>
      <c r="L182" s="8"/>
      <c r="M182" s="8"/>
      <c r="N182" s="8"/>
      <c r="O182" s="8"/>
      <c r="P182" s="5"/>
    </row>
    <row r="183" spans="1:16" ht="18" thickBot="1" x14ac:dyDescent="0.35">
      <c r="A183" s="96"/>
      <c r="B183" s="97" t="str">
        <f>B116</f>
        <v>FF7 INVESTOR REPORT QUARTER ENDING NOVEMBER 2009</v>
      </c>
      <c r="C183" s="177"/>
      <c r="D183" s="177"/>
      <c r="E183" s="177"/>
      <c r="F183" s="177"/>
      <c r="G183" s="177"/>
      <c r="H183" s="177"/>
      <c r="I183" s="177"/>
      <c r="J183" s="177"/>
      <c r="K183" s="177"/>
      <c r="L183" s="177"/>
      <c r="M183" s="177"/>
      <c r="N183" s="177"/>
      <c r="O183" s="178"/>
      <c r="P183" s="5"/>
    </row>
    <row r="184" spans="1:16" ht="15.6" x14ac:dyDescent="0.3">
      <c r="A184" s="65"/>
      <c r="B184" s="58" t="s">
        <v>66</v>
      </c>
      <c r="C184" s="66"/>
      <c r="D184" s="67"/>
      <c r="E184" s="67"/>
      <c r="F184" s="67"/>
      <c r="G184" s="67"/>
      <c r="H184" s="67"/>
      <c r="I184" s="67"/>
      <c r="J184" s="67"/>
      <c r="K184" s="67"/>
      <c r="L184" s="68">
        <v>40147</v>
      </c>
      <c r="M184" s="4"/>
      <c r="N184" s="4"/>
      <c r="O184" s="4"/>
      <c r="P184" s="5"/>
    </row>
    <row r="185" spans="1:16" ht="15.6" x14ac:dyDescent="0.3">
      <c r="A185" s="69"/>
      <c r="B185" s="70"/>
      <c r="C185" s="71"/>
      <c r="D185" s="72"/>
      <c r="E185" s="72"/>
      <c r="F185" s="72"/>
      <c r="G185" s="72"/>
      <c r="H185" s="72"/>
      <c r="I185" s="72"/>
      <c r="J185" s="72"/>
      <c r="K185" s="72"/>
      <c r="L185" s="72"/>
      <c r="M185" s="8"/>
      <c r="N185" s="8"/>
      <c r="O185" s="8"/>
      <c r="P185" s="5"/>
    </row>
    <row r="186" spans="1:16" ht="15.6" x14ac:dyDescent="0.3">
      <c r="A186" s="73"/>
      <c r="B186" s="74" t="s">
        <v>67</v>
      </c>
      <c r="C186" s="75"/>
      <c r="D186" s="62"/>
      <c r="E186" s="62"/>
      <c r="F186" s="62"/>
      <c r="G186" s="62"/>
      <c r="H186" s="62"/>
      <c r="I186" s="62"/>
      <c r="J186" s="62"/>
      <c r="K186" s="62"/>
      <c r="L186" s="76">
        <v>7.2950000000000001E-2</v>
      </c>
      <c r="M186" s="25"/>
      <c r="N186" s="25"/>
      <c r="O186" s="25"/>
      <c r="P186" s="5"/>
    </row>
    <row r="187" spans="1:16" ht="15.6" x14ac:dyDescent="0.3">
      <c r="A187" s="73"/>
      <c r="B187" s="74" t="s">
        <v>213</v>
      </c>
      <c r="C187" s="75"/>
      <c r="D187" s="62"/>
      <c r="E187" s="62"/>
      <c r="F187" s="62"/>
      <c r="G187" s="62"/>
      <c r="H187" s="62"/>
      <c r="I187" s="62"/>
      <c r="J187" s="62"/>
      <c r="K187" s="62"/>
      <c r="L187" s="39">
        <v>5.79E-2</v>
      </c>
      <c r="M187" s="25"/>
      <c r="N187" s="25"/>
      <c r="O187" s="25"/>
      <c r="P187" s="5"/>
    </row>
    <row r="188" spans="1:16" ht="15.6" x14ac:dyDescent="0.3">
      <c r="A188" s="73"/>
      <c r="B188" s="74" t="s">
        <v>68</v>
      </c>
      <c r="C188" s="75"/>
      <c r="D188" s="62"/>
      <c r="E188" s="62"/>
      <c r="F188" s="62"/>
      <c r="G188" s="62"/>
      <c r="H188" s="62"/>
      <c r="I188" s="62"/>
      <c r="J188" s="62"/>
      <c r="K188" s="62"/>
      <c r="L188" s="76">
        <f>L186-L187</f>
        <v>1.5050000000000001E-2</v>
      </c>
      <c r="M188" s="25"/>
      <c r="N188" s="25"/>
      <c r="O188" s="25"/>
      <c r="P188" s="5"/>
    </row>
    <row r="189" spans="1:16" ht="15.6" x14ac:dyDescent="0.3">
      <c r="A189" s="73"/>
      <c r="B189" s="74" t="s">
        <v>69</v>
      </c>
      <c r="C189" s="75"/>
      <c r="D189" s="62"/>
      <c r="E189" s="62"/>
      <c r="F189" s="62"/>
      <c r="G189" s="62"/>
      <c r="H189" s="62"/>
      <c r="I189" s="62"/>
      <c r="J189" s="62"/>
      <c r="K189" s="62"/>
      <c r="L189" s="76">
        <v>5.364E-2</v>
      </c>
      <c r="M189" s="25"/>
      <c r="N189" s="25"/>
      <c r="O189" s="25"/>
      <c r="P189" s="5"/>
    </row>
    <row r="190" spans="1:16" ht="15.6" x14ac:dyDescent="0.3">
      <c r="A190" s="73"/>
      <c r="B190" s="74" t="s">
        <v>212</v>
      </c>
      <c r="C190" s="75"/>
      <c r="D190" s="62"/>
      <c r="E190" s="62"/>
      <c r="F190" s="62"/>
      <c r="G190" s="62"/>
      <c r="H190" s="62"/>
      <c r="I190" s="62"/>
      <c r="J190" s="62"/>
      <c r="K190" s="62"/>
      <c r="L190" s="76">
        <f>N34</f>
        <v>7.37409173371429E-3</v>
      </c>
      <c r="M190" s="25"/>
      <c r="N190" s="25"/>
      <c r="O190" s="25"/>
      <c r="P190" s="5"/>
    </row>
    <row r="191" spans="1:16" ht="15.6" x14ac:dyDescent="0.3">
      <c r="A191" s="73"/>
      <c r="B191" s="74" t="s">
        <v>70</v>
      </c>
      <c r="C191" s="75"/>
      <c r="D191" s="62"/>
      <c r="E191" s="62"/>
      <c r="F191" s="62"/>
      <c r="G191" s="62"/>
      <c r="H191" s="62"/>
      <c r="I191" s="62"/>
      <c r="J191" s="62"/>
      <c r="K191" s="62"/>
      <c r="L191" s="76">
        <f>L189-L190</f>
        <v>4.626590826628571E-2</v>
      </c>
      <c r="M191" s="25"/>
      <c r="N191" s="25"/>
      <c r="O191" s="25"/>
      <c r="P191" s="5"/>
    </row>
    <row r="192" spans="1:16" ht="15.6" x14ac:dyDescent="0.3">
      <c r="A192" s="73"/>
      <c r="B192" s="74" t="s">
        <v>203</v>
      </c>
      <c r="C192" s="75"/>
      <c r="D192" s="62"/>
      <c r="E192" s="62"/>
      <c r="F192" s="62"/>
      <c r="G192" s="62"/>
      <c r="H192" s="62"/>
      <c r="I192" s="62"/>
      <c r="J192" s="62"/>
      <c r="K192" s="62"/>
      <c r="L192" s="76">
        <f>+N88/F60</f>
        <v>1.3726456209497102E-2</v>
      </c>
      <c r="M192" s="25"/>
      <c r="N192" s="25"/>
      <c r="O192" s="25"/>
      <c r="P192" s="5"/>
    </row>
    <row r="193" spans="1:16" ht="15.6" x14ac:dyDescent="0.3">
      <c r="A193" s="73"/>
      <c r="B193" s="74" t="s">
        <v>171</v>
      </c>
      <c r="C193" s="75"/>
      <c r="D193" s="62"/>
      <c r="E193" s="62"/>
      <c r="F193" s="62"/>
      <c r="G193" s="62"/>
      <c r="H193" s="62"/>
      <c r="I193" s="62"/>
      <c r="J193" s="62"/>
      <c r="K193" s="62"/>
      <c r="L193" s="122">
        <v>48823</v>
      </c>
      <c r="M193" s="25"/>
      <c r="N193" s="25"/>
      <c r="O193" s="25"/>
      <c r="P193" s="5"/>
    </row>
    <row r="194" spans="1:16" ht="15.6" x14ac:dyDescent="0.3">
      <c r="A194" s="73"/>
      <c r="B194" s="74" t="s">
        <v>172</v>
      </c>
      <c r="C194" s="75"/>
      <c r="D194" s="62"/>
      <c r="E194" s="62"/>
      <c r="F194" s="62"/>
      <c r="G194" s="62"/>
      <c r="H194" s="62"/>
      <c r="I194" s="62"/>
      <c r="J194" s="62"/>
      <c r="K194" s="62"/>
      <c r="L194" s="122">
        <v>48823</v>
      </c>
      <c r="M194" s="25"/>
      <c r="N194" s="25"/>
      <c r="O194" s="25"/>
      <c r="P194" s="5"/>
    </row>
    <row r="195" spans="1:16" ht="15.6" x14ac:dyDescent="0.3">
      <c r="A195" s="73"/>
      <c r="B195" s="74" t="s">
        <v>173</v>
      </c>
      <c r="C195" s="75"/>
      <c r="D195" s="62"/>
      <c r="E195" s="62"/>
      <c r="F195" s="62"/>
      <c r="G195" s="62"/>
      <c r="H195" s="62"/>
      <c r="I195" s="62"/>
      <c r="J195" s="62"/>
      <c r="K195" s="62"/>
      <c r="L195" s="122">
        <v>48823</v>
      </c>
      <c r="M195" s="25"/>
      <c r="N195" s="25"/>
      <c r="O195" s="25"/>
      <c r="P195" s="5"/>
    </row>
    <row r="196" spans="1:16" ht="15.6" x14ac:dyDescent="0.3">
      <c r="A196" s="73"/>
      <c r="B196" s="74" t="s">
        <v>71</v>
      </c>
      <c r="C196" s="75"/>
      <c r="D196" s="62"/>
      <c r="E196" s="62"/>
      <c r="F196" s="62"/>
      <c r="G196" s="62"/>
      <c r="H196" s="62"/>
      <c r="I196" s="62"/>
      <c r="J196" s="62"/>
      <c r="K196" s="62"/>
      <c r="L196" s="126">
        <v>9.93</v>
      </c>
      <c r="M196" s="25" t="s">
        <v>110</v>
      </c>
      <c r="N196" s="25"/>
      <c r="O196" s="25"/>
      <c r="P196" s="5"/>
    </row>
    <row r="197" spans="1:16" ht="15.6" x14ac:dyDescent="0.3">
      <c r="A197" s="73"/>
      <c r="B197" s="74" t="s">
        <v>72</v>
      </c>
      <c r="C197" s="75"/>
      <c r="D197" s="62"/>
      <c r="E197" s="62"/>
      <c r="F197" s="62"/>
      <c r="G197" s="62"/>
      <c r="H197" s="62"/>
      <c r="I197" s="62"/>
      <c r="J197" s="62"/>
      <c r="K197" s="62"/>
      <c r="L197" s="126">
        <v>6.87</v>
      </c>
      <c r="M197" s="25" t="s">
        <v>110</v>
      </c>
      <c r="N197" s="25"/>
      <c r="O197" s="25"/>
      <c r="P197" s="5"/>
    </row>
    <row r="198" spans="1:16" ht="15.6" x14ac:dyDescent="0.3">
      <c r="A198" s="73"/>
      <c r="B198" s="74" t="s">
        <v>73</v>
      </c>
      <c r="C198" s="75"/>
      <c r="D198" s="62"/>
      <c r="E198" s="62"/>
      <c r="F198" s="62"/>
      <c r="G198" s="62"/>
      <c r="H198" s="62"/>
      <c r="I198" s="62"/>
      <c r="J198" s="62"/>
      <c r="K198" s="62"/>
      <c r="L198" s="76">
        <f>+H57/F57</f>
        <v>6.1765780023129831E-2</v>
      </c>
      <c r="M198" s="25"/>
      <c r="N198" s="25"/>
      <c r="O198" s="25"/>
      <c r="P198" s="5"/>
    </row>
    <row r="199" spans="1:16" ht="15.6" x14ac:dyDescent="0.3">
      <c r="A199" s="73"/>
      <c r="B199" s="74" t="s">
        <v>74</v>
      </c>
      <c r="C199" s="75"/>
      <c r="D199" s="62"/>
      <c r="E199" s="62"/>
      <c r="F199" s="62"/>
      <c r="G199" s="62"/>
      <c r="H199" s="62"/>
      <c r="I199" s="62"/>
      <c r="J199" s="62"/>
      <c r="K199" s="62"/>
      <c r="L199" s="76">
        <v>0.29299999999999998</v>
      </c>
      <c r="M199" s="25"/>
      <c r="N199" s="25"/>
      <c r="O199" s="25"/>
      <c r="P199" s="5"/>
    </row>
    <row r="200" spans="1:16" ht="15.6" x14ac:dyDescent="0.3">
      <c r="A200" s="73"/>
      <c r="B200" s="74"/>
      <c r="C200" s="74"/>
      <c r="D200" s="25"/>
      <c r="E200" s="25"/>
      <c r="F200" s="25"/>
      <c r="G200" s="25"/>
      <c r="H200" s="25"/>
      <c r="I200" s="25"/>
      <c r="J200" s="25"/>
      <c r="K200" s="25"/>
      <c r="L200" s="59"/>
      <c r="M200" s="25"/>
      <c r="N200" s="77"/>
      <c r="O200" s="25"/>
      <c r="P200" s="5"/>
    </row>
    <row r="201" spans="1:16" ht="15.6" x14ac:dyDescent="0.3">
      <c r="A201" s="78"/>
      <c r="B201" s="14" t="s">
        <v>75</v>
      </c>
      <c r="C201" s="79"/>
      <c r="D201" s="17"/>
      <c r="E201" s="17"/>
      <c r="F201" s="17"/>
      <c r="G201" s="17"/>
      <c r="H201" s="17"/>
      <c r="I201" s="17"/>
      <c r="J201" s="17"/>
      <c r="K201" s="17" t="s">
        <v>99</v>
      </c>
      <c r="L201" s="80" t="s">
        <v>106</v>
      </c>
      <c r="M201" s="8"/>
      <c r="N201" s="8"/>
      <c r="O201" s="8"/>
      <c r="P201" s="5"/>
    </row>
    <row r="202" spans="1:16" ht="15.6" x14ac:dyDescent="0.3">
      <c r="A202" s="81"/>
      <c r="B202" s="74" t="s">
        <v>76</v>
      </c>
      <c r="C202" s="53"/>
      <c r="D202" s="30"/>
      <c r="E202" s="30"/>
      <c r="F202" s="30"/>
      <c r="G202" s="30"/>
      <c r="H202" s="30"/>
      <c r="I202" s="30"/>
      <c r="J202" s="30"/>
      <c r="K202" s="30">
        <v>5</v>
      </c>
      <c r="L202" s="82">
        <v>237</v>
      </c>
      <c r="M202" s="25"/>
      <c r="N202" s="77"/>
      <c r="O202" s="83"/>
      <c r="P202" s="5"/>
    </row>
    <row r="203" spans="1:16" ht="15.6" x14ac:dyDescent="0.3">
      <c r="A203" s="81"/>
      <c r="B203" s="74" t="s">
        <v>136</v>
      </c>
      <c r="C203" s="53"/>
      <c r="D203" s="30"/>
      <c r="E203" s="30"/>
      <c r="F203" s="30"/>
      <c r="G203" s="30"/>
      <c r="H203" s="30"/>
      <c r="I203" s="30"/>
      <c r="J203" s="30"/>
      <c r="K203" s="142">
        <f>+J253</f>
        <v>1</v>
      </c>
      <c r="L203" s="82">
        <f>+L253</f>
        <v>110</v>
      </c>
      <c r="M203" s="25"/>
      <c r="N203" s="77"/>
      <c r="O203" s="83"/>
      <c r="P203" s="5"/>
    </row>
    <row r="204" spans="1:16" ht="15.6" x14ac:dyDescent="0.3">
      <c r="A204" s="81"/>
      <c r="B204" s="74" t="s">
        <v>77</v>
      </c>
      <c r="C204" s="53"/>
      <c r="D204" s="30"/>
      <c r="E204" s="30"/>
      <c r="F204" s="30"/>
      <c r="G204" s="30"/>
      <c r="H204" s="30"/>
      <c r="I204" s="30"/>
      <c r="J204" s="30"/>
      <c r="K204" s="142">
        <f>+J270</f>
        <v>6</v>
      </c>
      <c r="L204" s="82">
        <f>+L270</f>
        <v>215</v>
      </c>
      <c r="M204" s="25"/>
      <c r="N204" s="77"/>
      <c r="O204" s="83"/>
      <c r="P204" s="5"/>
    </row>
    <row r="205" spans="1:16" ht="15.6" x14ac:dyDescent="0.3">
      <c r="A205" s="81"/>
      <c r="B205" s="117" t="s">
        <v>78</v>
      </c>
      <c r="C205" s="53"/>
      <c r="D205" s="25"/>
      <c r="E205" s="25"/>
      <c r="F205" s="25"/>
      <c r="G205" s="25"/>
      <c r="H205" s="25"/>
      <c r="I205" s="25"/>
      <c r="J205" s="25"/>
      <c r="K205" s="25"/>
      <c r="L205" s="82">
        <v>0</v>
      </c>
      <c r="M205" s="25"/>
      <c r="N205" s="77"/>
      <c r="O205" s="83"/>
      <c r="P205" s="5"/>
    </row>
    <row r="206" spans="1:16" ht="15.6" x14ac:dyDescent="0.3">
      <c r="A206" s="81"/>
      <c r="B206" s="117" t="s">
        <v>79</v>
      </c>
      <c r="C206" s="53"/>
      <c r="D206" s="25"/>
      <c r="E206" s="25"/>
      <c r="F206" s="25"/>
      <c r="G206" s="25"/>
      <c r="H206" s="25"/>
      <c r="I206" s="25"/>
      <c r="J206" s="25"/>
      <c r="K206" s="25"/>
      <c r="L206" s="60" t="s">
        <v>107</v>
      </c>
      <c r="M206" s="25"/>
      <c r="N206" s="77"/>
      <c r="O206" s="83"/>
      <c r="P206" s="5"/>
    </row>
    <row r="207" spans="1:16" ht="15.6" x14ac:dyDescent="0.3">
      <c r="A207" s="84"/>
      <c r="B207" s="117" t="s">
        <v>80</v>
      </c>
      <c r="C207" s="74"/>
      <c r="D207" s="25"/>
      <c r="E207" s="25"/>
      <c r="F207" s="25"/>
      <c r="G207" s="25"/>
      <c r="H207" s="25"/>
      <c r="I207" s="25"/>
      <c r="J207" s="25"/>
      <c r="K207" s="25"/>
      <c r="L207" s="82"/>
      <c r="M207" s="25"/>
      <c r="N207" s="77"/>
      <c r="O207" s="85"/>
      <c r="P207" s="5"/>
    </row>
    <row r="208" spans="1:16" ht="15.6" x14ac:dyDescent="0.3">
      <c r="A208" s="84"/>
      <c r="B208" s="124" t="s">
        <v>81</v>
      </c>
      <c r="C208" s="74"/>
      <c r="D208" s="25"/>
      <c r="E208" s="25"/>
      <c r="F208" s="25"/>
      <c r="G208" s="25"/>
      <c r="H208" s="25"/>
      <c r="I208" s="25"/>
      <c r="J208" s="25"/>
      <c r="K208" s="30"/>
      <c r="L208" s="82">
        <f>N145</f>
        <v>0</v>
      </c>
      <c r="M208" s="25"/>
      <c r="N208" s="77"/>
      <c r="O208" s="85"/>
      <c r="P208" s="5"/>
    </row>
    <row r="209" spans="1:17" ht="15.6" x14ac:dyDescent="0.3">
      <c r="A209" s="81"/>
      <c r="B209" s="74" t="s">
        <v>82</v>
      </c>
      <c r="C209" s="53"/>
      <c r="D209" s="25"/>
      <c r="E209" s="25"/>
      <c r="F209" s="25"/>
      <c r="G209" s="25"/>
      <c r="H209" s="25"/>
      <c r="I209" s="25"/>
      <c r="J209" s="25"/>
      <c r="K209" s="30"/>
      <c r="L209" s="82">
        <f>'Aug 09'!L209+L208</f>
        <v>54</v>
      </c>
      <c r="M209" s="25"/>
      <c r="N209" s="77"/>
      <c r="O209" s="85"/>
      <c r="P209" s="5"/>
    </row>
    <row r="210" spans="1:17" ht="15.6" x14ac:dyDescent="0.3">
      <c r="A210" s="84"/>
      <c r="B210" s="117" t="s">
        <v>253</v>
      </c>
      <c r="C210" s="74"/>
      <c r="D210" s="25"/>
      <c r="E210" s="25"/>
      <c r="F210" s="25"/>
      <c r="G210" s="25"/>
      <c r="H210" s="25"/>
      <c r="I210" s="25"/>
      <c r="J210" s="25"/>
      <c r="K210" s="30"/>
      <c r="L210" s="82"/>
      <c r="M210" s="25"/>
      <c r="N210" s="77"/>
      <c r="O210" s="85"/>
      <c r="P210" s="5"/>
    </row>
    <row r="211" spans="1:17" ht="15.6" x14ac:dyDescent="0.3">
      <c r="A211" s="84"/>
      <c r="B211" s="74" t="s">
        <v>250</v>
      </c>
      <c r="C211" s="74"/>
      <c r="D211" s="25"/>
      <c r="E211" s="25"/>
      <c r="F211" s="25"/>
      <c r="G211" s="25"/>
      <c r="H211" s="25"/>
      <c r="I211" s="25"/>
      <c r="J211" s="25"/>
      <c r="K211" s="30">
        <v>0</v>
      </c>
      <c r="L211" s="82">
        <v>0</v>
      </c>
      <c r="M211" s="25"/>
      <c r="N211" s="77"/>
      <c r="O211" s="85"/>
      <c r="P211" s="5"/>
    </row>
    <row r="212" spans="1:17" ht="15.6" x14ac:dyDescent="0.3">
      <c r="A212" s="81"/>
      <c r="B212" s="74" t="s">
        <v>83</v>
      </c>
      <c r="C212" s="86"/>
      <c r="D212" s="25"/>
      <c r="E212" s="25"/>
      <c r="F212" s="25"/>
      <c r="G212" s="25"/>
      <c r="H212" s="25"/>
      <c r="I212" s="25"/>
      <c r="J212" s="25"/>
      <c r="K212" s="25"/>
      <c r="L212" s="60">
        <v>0</v>
      </c>
      <c r="M212" s="25"/>
      <c r="N212" s="77"/>
      <c r="O212" s="85"/>
      <c r="P212" s="5"/>
    </row>
    <row r="213" spans="1:17" ht="15.6" x14ac:dyDescent="0.3">
      <c r="A213" s="81"/>
      <c r="B213" s="74" t="s">
        <v>84</v>
      </c>
      <c r="C213" s="86"/>
      <c r="D213" s="25"/>
      <c r="E213" s="25"/>
      <c r="F213" s="25"/>
      <c r="G213" s="25"/>
      <c r="H213" s="25"/>
      <c r="I213" s="25"/>
      <c r="J213" s="25"/>
      <c r="K213" s="25"/>
      <c r="L213" s="60">
        <v>0</v>
      </c>
      <c r="M213" s="25"/>
      <c r="N213" s="77"/>
      <c r="O213" s="85"/>
      <c r="P213" s="5"/>
    </row>
    <row r="214" spans="1:17" ht="15.6" x14ac:dyDescent="0.3">
      <c r="A214" s="81"/>
      <c r="B214" s="117" t="s">
        <v>177</v>
      </c>
      <c r="C214" s="86"/>
      <c r="D214" s="25"/>
      <c r="E214" s="25"/>
      <c r="F214" s="25"/>
      <c r="G214" s="25"/>
      <c r="H214" s="25"/>
      <c r="I214" s="25"/>
      <c r="J214" s="25"/>
      <c r="K214" s="25"/>
      <c r="L214" s="87"/>
      <c r="M214" s="25"/>
      <c r="N214" s="77"/>
      <c r="O214" s="85"/>
      <c r="P214" s="5"/>
    </row>
    <row r="215" spans="1:17" ht="15.6" x14ac:dyDescent="0.3">
      <c r="A215" s="81"/>
      <c r="B215" s="74" t="s">
        <v>250</v>
      </c>
      <c r="C215" s="86"/>
      <c r="D215" s="25"/>
      <c r="E215" s="25"/>
      <c r="F215" s="25"/>
      <c r="G215" s="25"/>
      <c r="H215" s="25"/>
      <c r="I215" s="25"/>
      <c r="J215" s="25"/>
      <c r="K215" s="30">
        <v>0</v>
      </c>
      <c r="L215" s="82">
        <v>0</v>
      </c>
      <c r="M215" s="25"/>
      <c r="N215" s="77"/>
      <c r="O215" s="85"/>
      <c r="P215" s="5"/>
    </row>
    <row r="216" spans="1:17" ht="15.6" x14ac:dyDescent="0.3">
      <c r="A216" s="81"/>
      <c r="B216" s="74" t="s">
        <v>178</v>
      </c>
      <c r="C216" s="86"/>
      <c r="D216" s="25"/>
      <c r="E216" s="25"/>
      <c r="F216" s="25"/>
      <c r="G216" s="25"/>
      <c r="H216" s="25"/>
      <c r="I216" s="25"/>
      <c r="J216" s="25"/>
      <c r="K216" s="25"/>
      <c r="L216" s="60">
        <v>0</v>
      </c>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5.6" x14ac:dyDescent="0.3">
      <c r="A218" s="81"/>
      <c r="B218" s="74"/>
      <c r="C218" s="86"/>
      <c r="D218" s="25"/>
      <c r="E218" s="25"/>
      <c r="F218" s="25"/>
      <c r="G218" s="25"/>
      <c r="H218" s="25"/>
      <c r="I218" s="25"/>
      <c r="J218" s="25"/>
      <c r="K218" s="25"/>
      <c r="L218" s="87"/>
      <c r="M218" s="25"/>
      <c r="N218" s="77"/>
      <c r="O218" s="85"/>
      <c r="P218" s="5"/>
    </row>
    <row r="219" spans="1:17" ht="17.399999999999999" x14ac:dyDescent="0.3">
      <c r="A219" s="81"/>
      <c r="B219" s="140" t="s">
        <v>238</v>
      </c>
      <c r="C219" s="86"/>
      <c r="D219" s="25"/>
      <c r="E219" s="25"/>
      <c r="F219" s="25"/>
      <c r="G219" s="25"/>
      <c r="H219" s="180" t="s">
        <v>237</v>
      </c>
      <c r="I219" s="25"/>
      <c r="J219" s="25"/>
      <c r="K219" s="25"/>
      <c r="L219" s="87"/>
      <c r="M219" s="25"/>
      <c r="N219" s="77"/>
      <c r="O219" s="85"/>
      <c r="P219" s="5"/>
    </row>
    <row r="220" spans="1:17" ht="15.6" x14ac:dyDescent="0.3">
      <c r="A220" s="81"/>
      <c r="B220" s="74"/>
      <c r="C220" s="86"/>
      <c r="D220" s="25"/>
      <c r="E220" s="25"/>
      <c r="F220" s="25"/>
      <c r="G220" s="25"/>
      <c r="H220" s="25"/>
      <c r="I220" s="25"/>
      <c r="J220" s="25"/>
      <c r="K220" s="25"/>
      <c r="L220" s="87"/>
      <c r="M220" s="25"/>
      <c r="N220" s="77"/>
      <c r="O220" s="85"/>
      <c r="P220" s="5"/>
    </row>
    <row r="221" spans="1:17" ht="15.6" x14ac:dyDescent="0.3">
      <c r="A221" s="6"/>
      <c r="B221" s="14" t="s">
        <v>149</v>
      </c>
      <c r="C221" s="79"/>
      <c r="D221" s="17"/>
      <c r="E221" s="17"/>
      <c r="F221" s="17"/>
      <c r="G221" s="17"/>
      <c r="H221" s="17"/>
      <c r="I221" s="17"/>
      <c r="J221" s="80" t="s">
        <v>99</v>
      </c>
      <c r="K221" s="17" t="s">
        <v>100</v>
      </c>
      <c r="L221" s="80" t="s">
        <v>108</v>
      </c>
      <c r="M221" s="17" t="s">
        <v>100</v>
      </c>
      <c r="N221" s="8"/>
      <c r="O221" s="88"/>
      <c r="P221" s="5"/>
    </row>
    <row r="222" spans="1:17" ht="15.6" x14ac:dyDescent="0.3">
      <c r="A222" s="24"/>
      <c r="B222" s="53" t="s">
        <v>85</v>
      </c>
      <c r="C222" s="89"/>
      <c r="D222" s="89"/>
      <c r="E222" s="89"/>
      <c r="F222" s="89"/>
      <c r="G222" s="89"/>
      <c r="H222" s="89"/>
      <c r="I222" s="89"/>
      <c r="J222" s="53">
        <v>2880</v>
      </c>
      <c r="K222" s="90">
        <f t="shared" ref="K222:K234" si="1">J222/$J$236</f>
        <v>0.94210009813542694</v>
      </c>
      <c r="L222" s="52">
        <v>113924</v>
      </c>
      <c r="M222" s="125">
        <f t="shared" ref="M222:M234" si="2">L222/$L$236</f>
        <v>0.91146491719337552</v>
      </c>
      <c r="N222" s="77"/>
      <c r="O222" s="85"/>
      <c r="P222" s="5"/>
    </row>
    <row r="223" spans="1:17" ht="15.6" x14ac:dyDescent="0.3">
      <c r="A223" s="24"/>
      <c r="B223" s="53" t="s">
        <v>86</v>
      </c>
      <c r="C223" s="89"/>
      <c r="D223" s="89"/>
      <c r="E223" s="89"/>
      <c r="F223" s="89"/>
      <c r="G223" s="89"/>
      <c r="H223" s="89"/>
      <c r="I223" s="89"/>
      <c r="J223" s="53">
        <v>65</v>
      </c>
      <c r="K223" s="90">
        <f t="shared" si="1"/>
        <v>2.1262675825973177E-2</v>
      </c>
      <c r="L223" s="52">
        <v>3612</v>
      </c>
      <c r="M223" s="125">
        <f t="shared" si="2"/>
        <v>2.8898311864949195E-2</v>
      </c>
      <c r="N223" s="77"/>
      <c r="O223" s="85"/>
      <c r="P223" s="5"/>
      <c r="Q223" s="104"/>
    </row>
    <row r="224" spans="1:17" ht="15.6" x14ac:dyDescent="0.3">
      <c r="A224" s="24"/>
      <c r="B224" s="53" t="s">
        <v>87</v>
      </c>
      <c r="C224" s="89"/>
      <c r="D224" s="89"/>
      <c r="E224" s="89"/>
      <c r="F224" s="89"/>
      <c r="G224" s="89"/>
      <c r="H224" s="89"/>
      <c r="I224" s="89"/>
      <c r="J224" s="53">
        <v>29</v>
      </c>
      <c r="K224" s="90">
        <f t="shared" si="1"/>
        <v>9.4864245992803409E-3</v>
      </c>
      <c r="L224" s="52">
        <v>1320</v>
      </c>
      <c r="M224" s="125">
        <f t="shared" si="2"/>
        <v>1.0560844867589406E-2</v>
      </c>
      <c r="N224" s="77"/>
      <c r="O224" s="85"/>
      <c r="P224" s="5"/>
    </row>
    <row r="225" spans="1:17" ht="15.6" x14ac:dyDescent="0.3">
      <c r="A225" s="24"/>
      <c r="B225" s="53" t="s">
        <v>145</v>
      </c>
      <c r="C225" s="89"/>
      <c r="D225" s="89"/>
      <c r="E225" s="89"/>
      <c r="F225" s="89"/>
      <c r="G225" s="89"/>
      <c r="H225" s="89"/>
      <c r="I225" s="89"/>
      <c r="J225" s="53">
        <v>14</v>
      </c>
      <c r="K225" s="90">
        <f t="shared" si="1"/>
        <v>4.5796532548249922E-3</v>
      </c>
      <c r="L225" s="52">
        <v>946</v>
      </c>
      <c r="M225" s="125">
        <f t="shared" si="2"/>
        <v>7.5686054884390747E-3</v>
      </c>
      <c r="N225" s="77"/>
      <c r="O225" s="85"/>
      <c r="P225" s="5"/>
      <c r="Q225" s="104"/>
    </row>
    <row r="226" spans="1:17" ht="15.6" x14ac:dyDescent="0.3">
      <c r="A226" s="24"/>
      <c r="B226" s="53" t="s">
        <v>146</v>
      </c>
      <c r="C226" s="89"/>
      <c r="D226" s="89"/>
      <c r="E226" s="89"/>
      <c r="F226" s="89"/>
      <c r="G226" s="89"/>
      <c r="H226" s="89"/>
      <c r="I226" s="89"/>
      <c r="J226" s="53">
        <v>15</v>
      </c>
      <c r="K226" s="90">
        <f t="shared" si="1"/>
        <v>4.9067713444553487E-3</v>
      </c>
      <c r="L226" s="52">
        <v>897</v>
      </c>
      <c r="M226" s="125">
        <f t="shared" si="2"/>
        <v>7.1765741259300743E-3</v>
      </c>
      <c r="N226" s="77"/>
      <c r="O226" s="85"/>
      <c r="P226" s="5"/>
    </row>
    <row r="227" spans="1:17" ht="15.6" x14ac:dyDescent="0.3">
      <c r="A227" s="24"/>
      <c r="B227" s="53" t="s">
        <v>147</v>
      </c>
      <c r="C227" s="89"/>
      <c r="D227" s="89"/>
      <c r="E227" s="89"/>
      <c r="F227" s="89"/>
      <c r="G227" s="89"/>
      <c r="H227" s="89"/>
      <c r="I227" s="89"/>
      <c r="J227" s="53">
        <v>10</v>
      </c>
      <c r="K227" s="90">
        <f t="shared" si="1"/>
        <v>3.2711808963035655E-3</v>
      </c>
      <c r="L227" s="52">
        <v>602</v>
      </c>
      <c r="M227" s="125">
        <f t="shared" si="2"/>
        <v>4.8163853108248661E-3</v>
      </c>
      <c r="N227" s="77"/>
      <c r="O227" s="85"/>
      <c r="P227" s="5"/>
      <c r="Q227" s="104"/>
    </row>
    <row r="228" spans="1:17" ht="15.6" x14ac:dyDescent="0.3">
      <c r="A228" s="24"/>
      <c r="B228" s="53" t="s">
        <v>227</v>
      </c>
      <c r="C228" s="89"/>
      <c r="D228" s="89"/>
      <c r="E228" s="89"/>
      <c r="F228" s="89"/>
      <c r="G228" s="89"/>
      <c r="H228" s="89"/>
      <c r="I228" s="89"/>
      <c r="J228" s="53">
        <v>18</v>
      </c>
      <c r="K228" s="90">
        <f t="shared" si="1"/>
        <v>5.8881256133464181E-3</v>
      </c>
      <c r="L228" s="52">
        <v>1076</v>
      </c>
      <c r="M228" s="125">
        <f t="shared" si="2"/>
        <v>8.6086886950956076E-3</v>
      </c>
      <c r="N228" s="77"/>
      <c r="O228" s="85"/>
      <c r="P228" s="5"/>
    </row>
    <row r="229" spans="1:17" ht="15.6" x14ac:dyDescent="0.3">
      <c r="A229" s="24"/>
      <c r="B229" s="53" t="s">
        <v>228</v>
      </c>
      <c r="C229" s="89"/>
      <c r="D229" s="89"/>
      <c r="E229" s="89"/>
      <c r="F229" s="89"/>
      <c r="G229" s="89"/>
      <c r="H229" s="89"/>
      <c r="I229" s="89"/>
      <c r="J229" s="53">
        <v>11</v>
      </c>
      <c r="K229" s="90">
        <f t="shared" si="1"/>
        <v>3.598298985933922E-3</v>
      </c>
      <c r="L229" s="52">
        <v>689</v>
      </c>
      <c r="M229" s="125">
        <f t="shared" si="2"/>
        <v>5.5124409952796221E-3</v>
      </c>
      <c r="N229" s="77"/>
      <c r="O229" s="85"/>
      <c r="P229" s="5"/>
      <c r="Q229" s="104"/>
    </row>
    <row r="230" spans="1:17" ht="15.6" x14ac:dyDescent="0.3">
      <c r="A230" s="24"/>
      <c r="B230" s="53" t="s">
        <v>229</v>
      </c>
      <c r="C230" s="89"/>
      <c r="D230" s="89"/>
      <c r="E230" s="89"/>
      <c r="F230" s="89"/>
      <c r="G230" s="89"/>
      <c r="H230" s="89"/>
      <c r="I230" s="89"/>
      <c r="J230" s="53">
        <v>4</v>
      </c>
      <c r="K230" s="90">
        <f t="shared" si="1"/>
        <v>1.3084723585214263E-3</v>
      </c>
      <c r="L230" s="52">
        <v>272</v>
      </c>
      <c r="M230" s="125">
        <f t="shared" si="2"/>
        <v>2.1761740939275141E-3</v>
      </c>
      <c r="N230" s="77"/>
      <c r="O230" s="85"/>
      <c r="P230" s="5"/>
      <c r="Q230" s="104"/>
    </row>
    <row r="231" spans="1:17" ht="15.6" x14ac:dyDescent="0.3">
      <c r="A231" s="24"/>
      <c r="B231" s="53" t="s">
        <v>230</v>
      </c>
      <c r="C231" s="89"/>
      <c r="D231" s="89"/>
      <c r="E231" s="89"/>
      <c r="F231" s="89"/>
      <c r="G231" s="89"/>
      <c r="H231" s="89"/>
      <c r="I231" s="89"/>
      <c r="J231" s="53">
        <v>4</v>
      </c>
      <c r="K231" s="90">
        <f t="shared" si="1"/>
        <v>1.3084723585214263E-3</v>
      </c>
      <c r="L231" s="52">
        <v>1161</v>
      </c>
      <c r="M231" s="125">
        <f t="shared" si="2"/>
        <v>9.2887430994479554E-3</v>
      </c>
      <c r="N231" s="77"/>
      <c r="O231" s="85"/>
      <c r="P231" s="5"/>
      <c r="Q231" s="104"/>
    </row>
    <row r="232" spans="1:17" ht="15.6" x14ac:dyDescent="0.3">
      <c r="A232" s="24"/>
      <c r="B232" s="53" t="s">
        <v>231</v>
      </c>
      <c r="C232" s="89"/>
      <c r="D232" s="89"/>
      <c r="E232" s="89"/>
      <c r="F232" s="89"/>
      <c r="G232" s="89"/>
      <c r="H232" s="89"/>
      <c r="I232" s="89"/>
      <c r="J232" s="53">
        <v>4</v>
      </c>
      <c r="K232" s="90">
        <f t="shared" si="1"/>
        <v>1.3084723585214263E-3</v>
      </c>
      <c r="L232" s="52">
        <v>216</v>
      </c>
      <c r="M232" s="125">
        <f t="shared" si="2"/>
        <v>1.7281382510600848E-3</v>
      </c>
      <c r="N232" s="77"/>
      <c r="O232" s="85"/>
      <c r="P232" s="5"/>
      <c r="Q232" s="104"/>
    </row>
    <row r="233" spans="1:17" ht="15.6" x14ac:dyDescent="0.3">
      <c r="A233" s="24"/>
      <c r="B233" s="53" t="s">
        <v>232</v>
      </c>
      <c r="C233" s="89"/>
      <c r="D233" s="89"/>
      <c r="E233" s="89"/>
      <c r="F233" s="89"/>
      <c r="G233" s="89"/>
      <c r="H233" s="89"/>
      <c r="I233" s="89"/>
      <c r="J233" s="53">
        <v>1</v>
      </c>
      <c r="K233" s="90">
        <f t="shared" si="1"/>
        <v>3.2711808963035657E-4</v>
      </c>
      <c r="L233" s="52">
        <v>87</v>
      </c>
      <c r="M233" s="125">
        <f t="shared" si="2"/>
        <v>6.9605568445475633E-4</v>
      </c>
      <c r="N233" s="77"/>
      <c r="O233" s="85"/>
      <c r="P233" s="5"/>
      <c r="Q233" s="104"/>
    </row>
    <row r="234" spans="1:17" ht="15.6" x14ac:dyDescent="0.3">
      <c r="A234" s="24"/>
      <c r="B234" s="53" t="s">
        <v>233</v>
      </c>
      <c r="C234" s="89"/>
      <c r="D234" s="89"/>
      <c r="E234" s="89"/>
      <c r="F234" s="89"/>
      <c r="G234" s="89"/>
      <c r="H234" s="89"/>
      <c r="I234" s="89"/>
      <c r="J234" s="53">
        <v>2</v>
      </c>
      <c r="K234" s="90">
        <f t="shared" si="1"/>
        <v>6.5423617926071314E-4</v>
      </c>
      <c r="L234" s="52">
        <v>188</v>
      </c>
      <c r="M234" s="125">
        <f t="shared" si="2"/>
        <v>1.5041203296263701E-3</v>
      </c>
      <c r="N234" s="77"/>
      <c r="O234" s="85"/>
      <c r="P234" s="5"/>
      <c r="Q234" s="104"/>
    </row>
    <row r="235" spans="1:17" ht="15.6" x14ac:dyDescent="0.3">
      <c r="A235" s="24"/>
      <c r="B235" s="53"/>
      <c r="C235" s="89"/>
      <c r="D235" s="89"/>
      <c r="E235" s="89"/>
      <c r="F235" s="89"/>
      <c r="G235" s="89"/>
      <c r="H235" s="89"/>
      <c r="I235" s="89"/>
      <c r="J235" s="53"/>
      <c r="K235" s="90"/>
      <c r="L235" s="52"/>
      <c r="M235" s="125"/>
      <c r="N235" s="77"/>
      <c r="O235" s="85"/>
      <c r="P235" s="5"/>
      <c r="Q235" s="104"/>
    </row>
    <row r="236" spans="1:17" ht="15.6" x14ac:dyDescent="0.3">
      <c r="A236" s="24"/>
      <c r="B236" s="25"/>
      <c r="C236" s="25"/>
      <c r="D236" s="91"/>
      <c r="E236" s="91"/>
      <c r="F236" s="91"/>
      <c r="G236" s="91"/>
      <c r="H236" s="91"/>
      <c r="I236" s="91"/>
      <c r="J236" s="34">
        <f>SUM(J222:J235)</f>
        <v>3057</v>
      </c>
      <c r="K236" s="125">
        <f>SUM(K222:K235)</f>
        <v>0.99999999999999989</v>
      </c>
      <c r="L236" s="52">
        <f>SUM(L222:L235)</f>
        <v>124990</v>
      </c>
      <c r="M236" s="125">
        <f>SUM(M222:M235)</f>
        <v>1</v>
      </c>
      <c r="N236" s="25"/>
      <c r="O236" s="25"/>
      <c r="P236" s="5"/>
    </row>
    <row r="237" spans="1:17" ht="15.6" x14ac:dyDescent="0.3">
      <c r="A237" s="24"/>
      <c r="B237" s="25"/>
      <c r="C237" s="25"/>
      <c r="D237" s="91"/>
      <c r="E237" s="91"/>
      <c r="F237" s="91"/>
      <c r="G237" s="91"/>
      <c r="H237" s="91"/>
      <c r="I237" s="91"/>
      <c r="J237" s="34"/>
      <c r="K237" s="125"/>
      <c r="L237" s="52"/>
      <c r="M237" s="125"/>
      <c r="N237" s="25"/>
      <c r="O237" s="25"/>
      <c r="P237" s="5"/>
    </row>
    <row r="238" spans="1:17" ht="15.6" x14ac:dyDescent="0.3">
      <c r="A238" s="133"/>
      <c r="B238" s="14" t="s">
        <v>204</v>
      </c>
      <c r="C238" s="79"/>
      <c r="D238" s="17"/>
      <c r="E238" s="17"/>
      <c r="F238" s="17"/>
      <c r="G238" s="17"/>
      <c r="H238" s="17"/>
      <c r="I238" s="17"/>
      <c r="J238" s="80" t="s">
        <v>99</v>
      </c>
      <c r="K238" s="17" t="s">
        <v>100</v>
      </c>
      <c r="L238" s="80" t="s">
        <v>108</v>
      </c>
      <c r="M238" s="17" t="s">
        <v>100</v>
      </c>
      <c r="N238" s="131"/>
      <c r="O238" s="132"/>
      <c r="P238" s="5"/>
    </row>
    <row r="239" spans="1:17" ht="15.6" x14ac:dyDescent="0.3">
      <c r="A239" s="24"/>
      <c r="B239" s="53" t="s">
        <v>85</v>
      </c>
      <c r="C239" s="89"/>
      <c r="D239" s="89"/>
      <c r="E239" s="89"/>
      <c r="F239" s="89"/>
      <c r="G239" s="89"/>
      <c r="H239" s="89"/>
      <c r="I239" s="89"/>
      <c r="J239" s="53">
        <v>1</v>
      </c>
      <c r="K239" s="90">
        <f t="shared" ref="K239:K251" si="3">J239/$J$253</f>
        <v>1</v>
      </c>
      <c r="L239" s="52">
        <v>110</v>
      </c>
      <c r="M239" s="90">
        <f t="shared" ref="M239:M251" si="4">L239/$L$253</f>
        <v>1</v>
      </c>
      <c r="N239" s="25"/>
      <c r="O239" s="25"/>
      <c r="P239" s="5"/>
    </row>
    <row r="240" spans="1:17" ht="15.6" x14ac:dyDescent="0.3">
      <c r="A240" s="24"/>
      <c r="B240" s="53" t="s">
        <v>86</v>
      </c>
      <c r="C240" s="89"/>
      <c r="D240" s="89"/>
      <c r="E240" s="89"/>
      <c r="F240" s="89"/>
      <c r="G240" s="89"/>
      <c r="H240" s="89"/>
      <c r="I240" s="89"/>
      <c r="J240" s="53">
        <v>0</v>
      </c>
      <c r="K240" s="90">
        <f t="shared" si="3"/>
        <v>0</v>
      </c>
      <c r="L240" s="52">
        <v>0</v>
      </c>
      <c r="M240" s="90">
        <f t="shared" si="4"/>
        <v>0</v>
      </c>
      <c r="N240" s="25"/>
      <c r="O240" s="25"/>
      <c r="P240" s="5"/>
    </row>
    <row r="241" spans="1:16" ht="15.6" x14ac:dyDescent="0.3">
      <c r="A241" s="24"/>
      <c r="B241" s="53" t="s">
        <v>87</v>
      </c>
      <c r="C241" s="89"/>
      <c r="D241" s="89"/>
      <c r="E241" s="89"/>
      <c r="F241" s="89"/>
      <c r="G241" s="89"/>
      <c r="H241" s="89"/>
      <c r="I241" s="89"/>
      <c r="J241" s="53">
        <v>0</v>
      </c>
      <c r="K241" s="90">
        <f t="shared" si="3"/>
        <v>0</v>
      </c>
      <c r="L241" s="52">
        <v>0</v>
      </c>
      <c r="M241" s="90">
        <f t="shared" si="4"/>
        <v>0</v>
      </c>
      <c r="N241" s="25"/>
      <c r="O241" s="25"/>
      <c r="P241" s="5"/>
    </row>
    <row r="242" spans="1:16" ht="15.6" x14ac:dyDescent="0.3">
      <c r="A242" s="24"/>
      <c r="B242" s="53" t="s">
        <v>145</v>
      </c>
      <c r="C242" s="89"/>
      <c r="D242" s="89"/>
      <c r="E242" s="89"/>
      <c r="F242" s="89"/>
      <c r="G242" s="89"/>
      <c r="H242" s="89"/>
      <c r="I242" s="89"/>
      <c r="J242" s="53">
        <v>0</v>
      </c>
      <c r="K242" s="90">
        <f t="shared" si="3"/>
        <v>0</v>
      </c>
      <c r="L242" s="52">
        <v>0</v>
      </c>
      <c r="M242" s="90">
        <f t="shared" si="4"/>
        <v>0</v>
      </c>
      <c r="N242" s="25"/>
      <c r="O242" s="25"/>
      <c r="P242" s="5"/>
    </row>
    <row r="243" spans="1:16" ht="15.6" x14ac:dyDescent="0.3">
      <c r="A243" s="24"/>
      <c r="B243" s="53" t="s">
        <v>146</v>
      </c>
      <c r="C243" s="89"/>
      <c r="D243" s="89"/>
      <c r="E243" s="89"/>
      <c r="F243" s="89"/>
      <c r="G243" s="89"/>
      <c r="H243" s="89"/>
      <c r="I243" s="89"/>
      <c r="J243" s="53">
        <v>0</v>
      </c>
      <c r="K243" s="90">
        <f t="shared" si="3"/>
        <v>0</v>
      </c>
      <c r="L243" s="52">
        <v>0</v>
      </c>
      <c r="M243" s="90">
        <f t="shared" si="4"/>
        <v>0</v>
      </c>
      <c r="N243" s="25"/>
      <c r="O243" s="25"/>
      <c r="P243" s="5"/>
    </row>
    <row r="244" spans="1:16" ht="15.6" x14ac:dyDescent="0.3">
      <c r="A244" s="24"/>
      <c r="B244" s="53" t="s">
        <v>147</v>
      </c>
      <c r="C244" s="89"/>
      <c r="D244" s="89"/>
      <c r="E244" s="89"/>
      <c r="F244" s="89"/>
      <c r="G244" s="89"/>
      <c r="H244" s="89"/>
      <c r="I244" s="89"/>
      <c r="J244" s="53">
        <v>0</v>
      </c>
      <c r="K244" s="90">
        <f t="shared" si="3"/>
        <v>0</v>
      </c>
      <c r="L244" s="52">
        <v>0</v>
      </c>
      <c r="M244" s="90">
        <f t="shared" si="4"/>
        <v>0</v>
      </c>
      <c r="N244" s="25"/>
      <c r="O244" s="25"/>
      <c r="P244" s="5"/>
    </row>
    <row r="245" spans="1:16" ht="15.6" x14ac:dyDescent="0.3">
      <c r="A245" s="24"/>
      <c r="B245" s="53" t="s">
        <v>227</v>
      </c>
      <c r="C245" s="89"/>
      <c r="D245" s="89"/>
      <c r="E245" s="89"/>
      <c r="F245" s="89"/>
      <c r="G245" s="89"/>
      <c r="H245" s="89"/>
      <c r="I245" s="89"/>
      <c r="J245" s="53">
        <v>0</v>
      </c>
      <c r="K245" s="90">
        <f t="shared" si="3"/>
        <v>0</v>
      </c>
      <c r="L245" s="52">
        <v>0</v>
      </c>
      <c r="M245" s="90">
        <f t="shared" si="4"/>
        <v>0</v>
      </c>
      <c r="N245" s="25"/>
      <c r="O245" s="25"/>
      <c r="P245" s="5"/>
    </row>
    <row r="246" spans="1:16" ht="15.6" x14ac:dyDescent="0.3">
      <c r="A246" s="24"/>
      <c r="B246" s="53" t="s">
        <v>228</v>
      </c>
      <c r="C246" s="89"/>
      <c r="D246" s="89"/>
      <c r="E246" s="89"/>
      <c r="F246" s="89"/>
      <c r="G246" s="89"/>
      <c r="H246" s="89"/>
      <c r="I246" s="89"/>
      <c r="J246" s="53">
        <v>0</v>
      </c>
      <c r="K246" s="90">
        <f t="shared" si="3"/>
        <v>0</v>
      </c>
      <c r="L246" s="52">
        <v>0</v>
      </c>
      <c r="M246" s="90">
        <f t="shared" si="4"/>
        <v>0</v>
      </c>
      <c r="N246" s="25"/>
      <c r="O246" s="25"/>
      <c r="P246" s="5"/>
    </row>
    <row r="247" spans="1:16" ht="15.6" x14ac:dyDescent="0.3">
      <c r="A247" s="24"/>
      <c r="B247" s="53" t="s">
        <v>229</v>
      </c>
      <c r="C247" s="89"/>
      <c r="D247" s="89"/>
      <c r="E247" s="89"/>
      <c r="F247" s="89"/>
      <c r="G247" s="89"/>
      <c r="H247" s="89"/>
      <c r="I247" s="89"/>
      <c r="J247" s="53">
        <v>0</v>
      </c>
      <c r="K247" s="90">
        <f t="shared" si="3"/>
        <v>0</v>
      </c>
      <c r="L247" s="52">
        <v>0</v>
      </c>
      <c r="M247" s="90">
        <f t="shared" si="4"/>
        <v>0</v>
      </c>
      <c r="N247" s="25"/>
      <c r="O247" s="25"/>
      <c r="P247" s="5"/>
    </row>
    <row r="248" spans="1:16" ht="15.6" x14ac:dyDescent="0.3">
      <c r="A248" s="24"/>
      <c r="B248" s="53" t="s">
        <v>230</v>
      </c>
      <c r="C248" s="89"/>
      <c r="D248" s="89"/>
      <c r="E248" s="89"/>
      <c r="F248" s="89"/>
      <c r="G248" s="89"/>
      <c r="H248" s="89"/>
      <c r="I248" s="89"/>
      <c r="J248" s="53">
        <v>0</v>
      </c>
      <c r="K248" s="90">
        <f t="shared" si="3"/>
        <v>0</v>
      </c>
      <c r="L248" s="52">
        <v>0</v>
      </c>
      <c r="M248" s="90">
        <f t="shared" si="4"/>
        <v>0</v>
      </c>
      <c r="N248" s="25"/>
      <c r="O248" s="25"/>
      <c r="P248" s="5"/>
    </row>
    <row r="249" spans="1:16" ht="15.6" x14ac:dyDescent="0.3">
      <c r="A249" s="24"/>
      <c r="B249" s="53" t="s">
        <v>231</v>
      </c>
      <c r="C249" s="89"/>
      <c r="D249" s="89"/>
      <c r="E249" s="89"/>
      <c r="F249" s="89"/>
      <c r="G249" s="89"/>
      <c r="H249" s="89"/>
      <c r="I249" s="89"/>
      <c r="J249" s="53">
        <v>0</v>
      </c>
      <c r="K249" s="90">
        <f t="shared" si="3"/>
        <v>0</v>
      </c>
      <c r="L249" s="52">
        <v>0</v>
      </c>
      <c r="M249" s="90">
        <f t="shared" si="4"/>
        <v>0</v>
      </c>
      <c r="N249" s="25"/>
      <c r="O249" s="25"/>
      <c r="P249" s="5"/>
    </row>
    <row r="250" spans="1:16" ht="15.6" x14ac:dyDescent="0.3">
      <c r="A250" s="24"/>
      <c r="B250" s="53" t="s">
        <v>232</v>
      </c>
      <c r="C250" s="89"/>
      <c r="D250" s="89"/>
      <c r="E250" s="89"/>
      <c r="F250" s="89"/>
      <c r="G250" s="89"/>
      <c r="H250" s="89"/>
      <c r="I250" s="89"/>
      <c r="J250" s="53">
        <v>0</v>
      </c>
      <c r="K250" s="90">
        <f t="shared" si="3"/>
        <v>0</v>
      </c>
      <c r="L250" s="52">
        <v>0</v>
      </c>
      <c r="M250" s="90">
        <f t="shared" si="4"/>
        <v>0</v>
      </c>
      <c r="N250" s="25"/>
      <c r="O250" s="25"/>
      <c r="P250" s="5"/>
    </row>
    <row r="251" spans="1:16" ht="15.6" x14ac:dyDescent="0.3">
      <c r="A251" s="24"/>
      <c r="B251" s="53" t="s">
        <v>233</v>
      </c>
      <c r="C251" s="89"/>
      <c r="D251" s="89"/>
      <c r="E251" s="89"/>
      <c r="F251" s="89"/>
      <c r="G251" s="89"/>
      <c r="H251" s="89"/>
      <c r="I251" s="89"/>
      <c r="J251" s="53">
        <v>0</v>
      </c>
      <c r="K251" s="90">
        <f t="shared" si="3"/>
        <v>0</v>
      </c>
      <c r="L251" s="52">
        <v>0</v>
      </c>
      <c r="M251" s="90">
        <f t="shared" si="4"/>
        <v>0</v>
      </c>
      <c r="N251" s="25"/>
      <c r="O251" s="25"/>
      <c r="P251" s="5"/>
    </row>
    <row r="252" spans="1:16" ht="15.6" x14ac:dyDescent="0.3">
      <c r="A252" s="24"/>
      <c r="B252" s="53"/>
      <c r="C252" s="89"/>
      <c r="D252" s="89"/>
      <c r="E252" s="89"/>
      <c r="F252" s="89"/>
      <c r="G252" s="89"/>
      <c r="H252" s="89"/>
      <c r="I252" s="89"/>
      <c r="J252" s="53"/>
      <c r="K252" s="90"/>
      <c r="L252" s="52"/>
      <c r="M252" s="125"/>
      <c r="N252" s="25"/>
      <c r="O252" s="25"/>
      <c r="P252" s="5"/>
    </row>
    <row r="253" spans="1:16" ht="15.6" x14ac:dyDescent="0.3">
      <c r="A253" s="24"/>
      <c r="B253" s="25"/>
      <c r="C253" s="25"/>
      <c r="D253" s="91"/>
      <c r="E253" s="91"/>
      <c r="F253" s="91"/>
      <c r="G253" s="91"/>
      <c r="H253" s="91"/>
      <c r="I253" s="91"/>
      <c r="J253" s="34">
        <f>SUM(J239:J252)</f>
        <v>1</v>
      </c>
      <c r="K253" s="125">
        <f>SUM(K239:K252)</f>
        <v>1</v>
      </c>
      <c r="L253" s="52">
        <f>SUM(L239:L252)</f>
        <v>110</v>
      </c>
      <c r="M253" s="125">
        <f>SUM(M239:M252)</f>
        <v>1</v>
      </c>
      <c r="N253" s="25"/>
      <c r="O253" s="25"/>
      <c r="P253" s="5"/>
    </row>
    <row r="254" spans="1:16" ht="15.6" x14ac:dyDescent="0.3">
      <c r="A254" s="24"/>
      <c r="B254" s="25"/>
      <c r="C254" s="25"/>
      <c r="D254" s="91"/>
      <c r="E254" s="91"/>
      <c r="F254" s="91"/>
      <c r="G254" s="91"/>
      <c r="H254" s="91"/>
      <c r="I254" s="91"/>
      <c r="J254" s="34"/>
      <c r="K254" s="125"/>
      <c r="L254" s="52"/>
      <c r="M254" s="125"/>
      <c r="N254" s="25"/>
      <c r="O254" s="25"/>
      <c r="P254" s="5"/>
    </row>
    <row r="255" spans="1:16" ht="15.6" x14ac:dyDescent="0.3">
      <c r="A255" s="133"/>
      <c r="B255" s="14" t="s">
        <v>150</v>
      </c>
      <c r="C255" s="131"/>
      <c r="D255" s="137"/>
      <c r="E255" s="137"/>
      <c r="F255" s="137"/>
      <c r="G255" s="137"/>
      <c r="H255" s="137"/>
      <c r="I255" s="137"/>
      <c r="J255" s="80" t="s">
        <v>99</v>
      </c>
      <c r="K255" s="17" t="s">
        <v>100</v>
      </c>
      <c r="L255" s="80" t="s">
        <v>108</v>
      </c>
      <c r="M255" s="17" t="s">
        <v>100</v>
      </c>
      <c r="N255" s="131"/>
      <c r="O255" s="132"/>
      <c r="P255" s="5"/>
    </row>
    <row r="256" spans="1:16" ht="15.6" x14ac:dyDescent="0.3">
      <c r="A256" s="24"/>
      <c r="B256" s="53" t="s">
        <v>85</v>
      </c>
      <c r="C256" s="25"/>
      <c r="D256" s="91"/>
      <c r="E256" s="91"/>
      <c r="F256" s="91"/>
      <c r="G256" s="91"/>
      <c r="H256" s="91"/>
      <c r="I256" s="91"/>
      <c r="J256" s="53">
        <v>0</v>
      </c>
      <c r="K256" s="90">
        <f t="shared" ref="K256:K268" si="5">J256/$J$270</f>
        <v>0</v>
      </c>
      <c r="L256" s="52">
        <v>0</v>
      </c>
      <c r="M256" s="90">
        <f>L256/$L$270</f>
        <v>0</v>
      </c>
      <c r="N256" s="25"/>
      <c r="O256" s="25"/>
      <c r="P256" s="5"/>
    </row>
    <row r="257" spans="1:16" ht="15.6" x14ac:dyDescent="0.3">
      <c r="A257" s="24"/>
      <c r="B257" s="53" t="s">
        <v>86</v>
      </c>
      <c r="C257" s="25"/>
      <c r="D257" s="91"/>
      <c r="E257" s="91"/>
      <c r="F257" s="91"/>
      <c r="G257" s="91"/>
      <c r="H257" s="91"/>
      <c r="I257" s="91"/>
      <c r="J257" s="53">
        <v>1</v>
      </c>
      <c r="K257" s="90">
        <f t="shared" si="5"/>
        <v>0.16666666666666666</v>
      </c>
      <c r="L257" s="52">
        <v>15</v>
      </c>
      <c r="M257" s="90">
        <f t="shared" ref="M257:M268" si="6">L257/$L$270</f>
        <v>6.9767441860465115E-2</v>
      </c>
      <c r="N257" s="25"/>
      <c r="O257" s="25"/>
      <c r="P257" s="5"/>
    </row>
    <row r="258" spans="1:16" ht="15.6" x14ac:dyDescent="0.3">
      <c r="A258" s="24"/>
      <c r="B258" s="53" t="s">
        <v>87</v>
      </c>
      <c r="C258" s="25"/>
      <c r="D258" s="91"/>
      <c r="E258" s="91"/>
      <c r="F258" s="91"/>
      <c r="G258" s="91"/>
      <c r="H258" s="91"/>
      <c r="I258" s="91"/>
      <c r="J258" s="53">
        <v>0</v>
      </c>
      <c r="K258" s="90">
        <f t="shared" si="5"/>
        <v>0</v>
      </c>
      <c r="L258" s="52">
        <v>0</v>
      </c>
      <c r="M258" s="90">
        <f t="shared" si="6"/>
        <v>0</v>
      </c>
      <c r="N258" s="25"/>
      <c r="O258" s="25"/>
      <c r="P258" s="5"/>
    </row>
    <row r="259" spans="1:16" ht="15.6" x14ac:dyDescent="0.3">
      <c r="A259" s="24"/>
      <c r="B259" s="53" t="s">
        <v>145</v>
      </c>
      <c r="C259" s="25"/>
      <c r="D259" s="91"/>
      <c r="E259" s="91"/>
      <c r="F259" s="91"/>
      <c r="G259" s="91"/>
      <c r="H259" s="91"/>
      <c r="I259" s="91"/>
      <c r="J259" s="53">
        <v>0</v>
      </c>
      <c r="K259" s="90">
        <f t="shared" si="5"/>
        <v>0</v>
      </c>
      <c r="L259" s="52">
        <v>0</v>
      </c>
      <c r="M259" s="90">
        <f t="shared" si="6"/>
        <v>0</v>
      </c>
      <c r="N259" s="25"/>
      <c r="O259" s="25"/>
      <c r="P259" s="5"/>
    </row>
    <row r="260" spans="1:16" ht="15.6" x14ac:dyDescent="0.3">
      <c r="A260" s="24"/>
      <c r="B260" s="53" t="s">
        <v>146</v>
      </c>
      <c r="C260" s="25"/>
      <c r="D260" s="91"/>
      <c r="E260" s="91"/>
      <c r="F260" s="91"/>
      <c r="G260" s="91"/>
      <c r="H260" s="91"/>
      <c r="I260" s="91"/>
      <c r="J260" s="53">
        <v>1</v>
      </c>
      <c r="K260" s="90">
        <f t="shared" si="5"/>
        <v>0.16666666666666666</v>
      </c>
      <c r="L260" s="52">
        <v>54</v>
      </c>
      <c r="M260" s="90">
        <f t="shared" si="6"/>
        <v>0.25116279069767444</v>
      </c>
      <c r="N260" s="25"/>
      <c r="O260" s="25"/>
      <c r="P260" s="5"/>
    </row>
    <row r="261" spans="1:16" ht="15.6" x14ac:dyDescent="0.3">
      <c r="A261" s="24"/>
      <c r="B261" s="53" t="s">
        <v>147</v>
      </c>
      <c r="C261" s="25"/>
      <c r="D261" s="91"/>
      <c r="E261" s="91"/>
      <c r="F261" s="91"/>
      <c r="G261" s="91"/>
      <c r="H261" s="91"/>
      <c r="I261" s="91"/>
      <c r="J261" s="53">
        <v>1</v>
      </c>
      <c r="K261" s="90">
        <f t="shared" si="5"/>
        <v>0.16666666666666666</v>
      </c>
      <c r="L261" s="52">
        <v>70</v>
      </c>
      <c r="M261" s="90">
        <f t="shared" si="6"/>
        <v>0.32558139534883723</v>
      </c>
      <c r="N261" s="25"/>
      <c r="O261" s="25"/>
      <c r="P261" s="5"/>
    </row>
    <row r="262" spans="1:16" ht="15.6" x14ac:dyDescent="0.3">
      <c r="A262" s="24"/>
      <c r="B262" s="53" t="s">
        <v>227</v>
      </c>
      <c r="C262" s="25"/>
      <c r="D262" s="91"/>
      <c r="E262" s="91"/>
      <c r="F262" s="91"/>
      <c r="G262" s="91"/>
      <c r="H262" s="91"/>
      <c r="I262" s="91"/>
      <c r="J262" s="53">
        <v>0</v>
      </c>
      <c r="K262" s="90">
        <f t="shared" si="5"/>
        <v>0</v>
      </c>
      <c r="L262" s="52">
        <v>0</v>
      </c>
      <c r="M262" s="90">
        <f t="shared" si="6"/>
        <v>0</v>
      </c>
      <c r="N262" s="25"/>
      <c r="O262" s="25"/>
      <c r="P262" s="5"/>
    </row>
    <row r="263" spans="1:16" ht="15.6" x14ac:dyDescent="0.3">
      <c r="A263" s="24"/>
      <c r="B263" s="53" t="s">
        <v>228</v>
      </c>
      <c r="C263" s="25"/>
      <c r="D263" s="91"/>
      <c r="E263" s="91"/>
      <c r="F263" s="91"/>
      <c r="G263" s="91"/>
      <c r="H263" s="91"/>
      <c r="I263" s="91"/>
      <c r="J263" s="53">
        <v>1</v>
      </c>
      <c r="K263" s="90">
        <f t="shared" si="5"/>
        <v>0.16666666666666666</v>
      </c>
      <c r="L263" s="52">
        <v>22</v>
      </c>
      <c r="M263" s="90">
        <f t="shared" si="6"/>
        <v>0.10232558139534884</v>
      </c>
      <c r="N263" s="25"/>
      <c r="O263" s="25"/>
      <c r="P263" s="5"/>
    </row>
    <row r="264" spans="1:16" ht="15.6" x14ac:dyDescent="0.3">
      <c r="A264" s="24"/>
      <c r="B264" s="53" t="s">
        <v>229</v>
      </c>
      <c r="C264" s="25"/>
      <c r="D264" s="91"/>
      <c r="E264" s="91"/>
      <c r="F264" s="91"/>
      <c r="G264" s="91"/>
      <c r="H264" s="91"/>
      <c r="I264" s="91"/>
      <c r="J264" s="53">
        <v>2</v>
      </c>
      <c r="K264" s="90">
        <f t="shared" si="5"/>
        <v>0.33333333333333331</v>
      </c>
      <c r="L264" s="52">
        <v>54</v>
      </c>
      <c r="M264" s="90">
        <f t="shared" si="6"/>
        <v>0.25116279069767444</v>
      </c>
      <c r="N264" s="25"/>
      <c r="O264" s="25"/>
      <c r="P264" s="5"/>
    </row>
    <row r="265" spans="1:16" ht="15.6" x14ac:dyDescent="0.3">
      <c r="A265" s="24"/>
      <c r="B265" s="53" t="s">
        <v>230</v>
      </c>
      <c r="C265" s="25"/>
      <c r="D265" s="91"/>
      <c r="E265" s="91"/>
      <c r="F265" s="91"/>
      <c r="G265" s="91"/>
      <c r="H265" s="91"/>
      <c r="I265" s="91"/>
      <c r="J265" s="53">
        <v>0</v>
      </c>
      <c r="K265" s="90">
        <f t="shared" si="5"/>
        <v>0</v>
      </c>
      <c r="L265" s="52">
        <v>0</v>
      </c>
      <c r="M265" s="90">
        <f t="shared" si="6"/>
        <v>0</v>
      </c>
      <c r="N265" s="25"/>
      <c r="O265" s="25"/>
      <c r="P265" s="5"/>
    </row>
    <row r="266" spans="1:16" ht="15.6" x14ac:dyDescent="0.3">
      <c r="A266" s="24"/>
      <c r="B266" s="53" t="s">
        <v>231</v>
      </c>
      <c r="C266" s="25"/>
      <c r="D266" s="91"/>
      <c r="E266" s="91"/>
      <c r="F266" s="91"/>
      <c r="G266" s="91"/>
      <c r="H266" s="91"/>
      <c r="I266" s="91"/>
      <c r="J266" s="53">
        <v>0</v>
      </c>
      <c r="K266" s="90">
        <f t="shared" si="5"/>
        <v>0</v>
      </c>
      <c r="L266" s="52">
        <v>0</v>
      </c>
      <c r="M266" s="90">
        <f t="shared" si="6"/>
        <v>0</v>
      </c>
      <c r="N266" s="25"/>
      <c r="O266" s="25"/>
      <c r="P266" s="5"/>
    </row>
    <row r="267" spans="1:16" ht="15.6" x14ac:dyDescent="0.3">
      <c r="A267" s="24"/>
      <c r="B267" s="53" t="s">
        <v>232</v>
      </c>
      <c r="C267" s="25"/>
      <c r="D267" s="91"/>
      <c r="E267" s="91"/>
      <c r="F267" s="91"/>
      <c r="G267" s="91"/>
      <c r="H267" s="91"/>
      <c r="I267" s="91"/>
      <c r="J267" s="53">
        <v>0</v>
      </c>
      <c r="K267" s="90">
        <f t="shared" si="5"/>
        <v>0</v>
      </c>
      <c r="L267" s="52">
        <v>0</v>
      </c>
      <c r="M267" s="90">
        <f t="shared" si="6"/>
        <v>0</v>
      </c>
      <c r="N267" s="25"/>
      <c r="O267" s="25"/>
      <c r="P267" s="5"/>
    </row>
    <row r="268" spans="1:16" ht="15.6" x14ac:dyDescent="0.3">
      <c r="A268" s="24"/>
      <c r="B268" s="53" t="s">
        <v>233</v>
      </c>
      <c r="C268" s="25"/>
      <c r="D268" s="91"/>
      <c r="E268" s="91"/>
      <c r="F268" s="91"/>
      <c r="G268" s="91"/>
      <c r="H268" s="91"/>
      <c r="I268" s="91"/>
      <c r="J268" s="53">
        <v>0</v>
      </c>
      <c r="K268" s="90">
        <f t="shared" si="5"/>
        <v>0</v>
      </c>
      <c r="L268" s="52">
        <v>0</v>
      </c>
      <c r="M268" s="90">
        <f t="shared" si="6"/>
        <v>0</v>
      </c>
      <c r="N268" s="25"/>
      <c r="O268" s="25"/>
      <c r="P268" s="5"/>
    </row>
    <row r="269" spans="1:16" ht="15.6" x14ac:dyDescent="0.3">
      <c r="A269" s="24"/>
      <c r="B269" s="53"/>
      <c r="C269" s="25"/>
      <c r="D269" s="91"/>
      <c r="E269" s="91"/>
      <c r="F269" s="91"/>
      <c r="G269" s="91"/>
      <c r="H269" s="91"/>
      <c r="I269" s="91"/>
      <c r="J269" s="53"/>
      <c r="K269" s="90"/>
      <c r="L269" s="52"/>
      <c r="M269" s="125"/>
      <c r="N269" s="25"/>
      <c r="O269" s="25"/>
      <c r="P269" s="5"/>
    </row>
    <row r="270" spans="1:16" ht="15.6" x14ac:dyDescent="0.3">
      <c r="A270" s="24"/>
      <c r="B270" s="25" t="s">
        <v>114</v>
      </c>
      <c r="C270" s="25"/>
      <c r="D270" s="91"/>
      <c r="E270" s="91"/>
      <c r="F270" s="91"/>
      <c r="G270" s="91"/>
      <c r="H270" s="91"/>
      <c r="I270" s="91"/>
      <c r="J270" s="34">
        <f>SUM(J256:J268)</f>
        <v>6</v>
      </c>
      <c r="K270" s="90">
        <f>SUM(K256:K268)</f>
        <v>1</v>
      </c>
      <c r="L270" s="52">
        <f>SUM(L256:L268)</f>
        <v>215</v>
      </c>
      <c r="M270" s="125">
        <f>SUM(M256:M268)</f>
        <v>1</v>
      </c>
      <c r="N270" s="25"/>
      <c r="O270" s="25"/>
      <c r="P270" s="5"/>
    </row>
    <row r="271" spans="1:16" ht="15.6" x14ac:dyDescent="0.3">
      <c r="A271" s="24"/>
      <c r="B271" s="25"/>
      <c r="C271" s="25"/>
      <c r="D271" s="91"/>
      <c r="E271" s="91"/>
      <c r="F271" s="91"/>
      <c r="G271" s="91"/>
      <c r="H271" s="91"/>
      <c r="I271" s="91"/>
      <c r="J271" s="34"/>
      <c r="K271" s="125"/>
      <c r="L271" s="52"/>
      <c r="M271" s="125"/>
      <c r="N271" s="25"/>
      <c r="O271" s="25"/>
      <c r="P271" s="5"/>
    </row>
    <row r="272" spans="1:16" ht="15.6" x14ac:dyDescent="0.3">
      <c r="A272" s="24"/>
      <c r="B272" s="134" t="s">
        <v>151</v>
      </c>
      <c r="C272" s="25"/>
      <c r="D272" s="91"/>
      <c r="E272" s="91"/>
      <c r="F272" s="91"/>
      <c r="G272" s="91"/>
      <c r="H272" s="91"/>
      <c r="I272" s="91"/>
      <c r="J272" s="149">
        <f>J270+J253+J236</f>
        <v>3064</v>
      </c>
      <c r="K272" s="135"/>
      <c r="L272" s="136">
        <f>+L270+L253+L236</f>
        <v>125315</v>
      </c>
      <c r="M272" s="135"/>
      <c r="N272" s="25"/>
      <c r="O272" s="25"/>
      <c r="P272" s="5"/>
    </row>
    <row r="273" spans="1:16" ht="15.6" x14ac:dyDescent="0.3">
      <c r="A273" s="24"/>
      <c r="B273" s="25"/>
      <c r="C273" s="25"/>
      <c r="D273" s="91"/>
      <c r="E273" s="91"/>
      <c r="F273" s="91"/>
      <c r="G273" s="91"/>
      <c r="H273" s="91"/>
      <c r="I273" s="91"/>
      <c r="J273" s="91"/>
      <c r="K273" s="91"/>
      <c r="L273" s="52"/>
      <c r="M273" s="91"/>
      <c r="N273" s="25"/>
      <c r="O273" s="25"/>
      <c r="P273" s="5"/>
    </row>
    <row r="274" spans="1:16" ht="15.6" x14ac:dyDescent="0.3">
      <c r="A274" s="6"/>
      <c r="B274" s="8"/>
      <c r="C274" s="8"/>
      <c r="D274" s="92"/>
      <c r="E274" s="92"/>
      <c r="F274" s="92"/>
      <c r="G274" s="92"/>
      <c r="H274" s="92"/>
      <c r="I274" s="92"/>
      <c r="J274" s="92"/>
      <c r="K274" s="92"/>
      <c r="L274" s="93"/>
      <c r="M274" s="92"/>
      <c r="N274" s="8"/>
      <c r="O274" s="8"/>
      <c r="P274" s="5"/>
    </row>
    <row r="275" spans="1:16" ht="15.6" x14ac:dyDescent="0.3">
      <c r="A275" s="179"/>
      <c r="B275" s="14" t="s">
        <v>88</v>
      </c>
      <c r="C275" s="15"/>
      <c r="D275" s="17" t="s">
        <v>94</v>
      </c>
      <c r="E275" s="15"/>
      <c r="F275" s="14" t="s">
        <v>96</v>
      </c>
      <c r="G275" s="174"/>
      <c r="H275" s="174"/>
      <c r="I275" s="174"/>
      <c r="J275" s="17"/>
      <c r="K275" s="15"/>
      <c r="L275" s="14"/>
      <c r="M275" s="174"/>
      <c r="N275" s="174"/>
      <c r="O275" s="174"/>
      <c r="P275" s="5"/>
    </row>
    <row r="276" spans="1:16" ht="15.6" x14ac:dyDescent="0.3">
      <c r="A276" s="179"/>
      <c r="B276" s="174"/>
      <c r="C276" s="8"/>
      <c r="D276" s="8"/>
      <c r="E276" s="8"/>
      <c r="F276" s="8"/>
      <c r="G276" s="174"/>
      <c r="H276" s="174"/>
      <c r="I276" s="174"/>
      <c r="J276" s="8"/>
      <c r="K276" s="8"/>
      <c r="L276" s="8"/>
      <c r="M276" s="174"/>
      <c r="N276" s="174"/>
      <c r="O276" s="174"/>
      <c r="P276" s="5"/>
    </row>
    <row r="277" spans="1:16" ht="15.6" x14ac:dyDescent="0.3">
      <c r="A277" s="179"/>
      <c r="B277" s="13" t="s">
        <v>89</v>
      </c>
      <c r="C277" s="13"/>
      <c r="D277" s="123" t="s">
        <v>138</v>
      </c>
      <c r="E277" s="13"/>
      <c r="F277" s="13" t="s">
        <v>141</v>
      </c>
      <c r="G277" s="174"/>
      <c r="H277" s="174"/>
      <c r="I277" s="174"/>
      <c r="J277" s="123"/>
      <c r="K277" s="13"/>
      <c r="L277" s="13"/>
      <c r="M277" s="174"/>
      <c r="N277" s="174"/>
      <c r="O277" s="174"/>
      <c r="P277" s="5"/>
    </row>
    <row r="278" spans="1:16" ht="15.6" x14ac:dyDescent="0.3">
      <c r="A278" s="13"/>
      <c r="B278" s="13" t="s">
        <v>239</v>
      </c>
      <c r="C278" s="13"/>
      <c r="D278" s="123" t="s">
        <v>240</v>
      </c>
      <c r="E278" s="123"/>
      <c r="F278" s="13" t="s">
        <v>241</v>
      </c>
      <c r="G278" s="13"/>
      <c r="H278" s="174"/>
      <c r="I278" s="174"/>
      <c r="J278" s="123"/>
      <c r="K278" s="13"/>
      <c r="L278" s="13"/>
      <c r="M278" s="174"/>
      <c r="N278" s="174"/>
      <c r="O278" s="174"/>
      <c r="P278" s="5"/>
    </row>
    <row r="279" spans="1:16" ht="15.6" x14ac:dyDescent="0.3">
      <c r="A279" s="179"/>
      <c r="B279" s="13" t="s">
        <v>90</v>
      </c>
      <c r="C279" s="13"/>
      <c r="D279" s="123" t="s">
        <v>137</v>
      </c>
      <c r="E279" s="13"/>
      <c r="F279" s="13" t="s">
        <v>142</v>
      </c>
      <c r="G279" s="174"/>
      <c r="H279" s="174"/>
      <c r="I279" s="174"/>
      <c r="J279" s="123"/>
      <c r="K279" s="13"/>
      <c r="L279" s="13"/>
      <c r="M279" s="174"/>
      <c r="N279" s="174"/>
      <c r="O279" s="174"/>
      <c r="P279" s="5"/>
    </row>
    <row r="280" spans="1:16" ht="15.6" x14ac:dyDescent="0.3">
      <c r="A280" s="179"/>
      <c r="B280" s="13"/>
      <c r="C280" s="13"/>
      <c r="D280" s="174"/>
      <c r="E280" s="174"/>
      <c r="F280" s="174"/>
      <c r="G280" s="174"/>
      <c r="H280" s="174"/>
      <c r="I280" s="174"/>
      <c r="J280" s="174"/>
      <c r="K280" s="174"/>
      <c r="L280" s="174"/>
      <c r="M280" s="174"/>
      <c r="N280" s="174"/>
      <c r="O280" s="174"/>
      <c r="P280" s="5"/>
    </row>
    <row r="281" spans="1:16" ht="15.6" x14ac:dyDescent="0.3">
      <c r="A281" s="179"/>
      <c r="B281" s="13"/>
      <c r="C281" s="13"/>
      <c r="D281" s="174"/>
      <c r="E281" s="174"/>
      <c r="F281" s="174"/>
      <c r="G281" s="174"/>
      <c r="H281" s="174"/>
      <c r="I281" s="174"/>
      <c r="J281" s="174"/>
      <c r="K281" s="174"/>
      <c r="L281" s="174"/>
      <c r="M281" s="174"/>
      <c r="N281" s="174"/>
      <c r="O281" s="174"/>
      <c r="P281" s="5"/>
    </row>
    <row r="282" spans="1:16" ht="18" thickBot="1" x14ac:dyDescent="0.35">
      <c r="A282" s="179"/>
      <c r="B282" s="48" t="str">
        <f>B183</f>
        <v>FF7 INVESTOR REPORT QUARTER ENDING NOVEMBER 2009</v>
      </c>
      <c r="C282" s="13"/>
      <c r="D282" s="174"/>
      <c r="E282" s="174"/>
      <c r="F282" s="174"/>
      <c r="G282" s="174"/>
      <c r="H282" s="174"/>
      <c r="I282" s="174"/>
      <c r="J282" s="174"/>
      <c r="K282" s="174"/>
      <c r="L282" s="174"/>
      <c r="M282" s="174"/>
      <c r="N282" s="174"/>
      <c r="O282" s="174"/>
      <c r="P282" s="5"/>
    </row>
    <row r="283" spans="1:16" x14ac:dyDescent="0.25">
      <c r="A283" s="95"/>
      <c r="B283" s="95"/>
      <c r="C283" s="95"/>
      <c r="D283" s="95"/>
      <c r="E283" s="95"/>
      <c r="F283" s="95"/>
      <c r="G283" s="95"/>
      <c r="H283" s="95"/>
      <c r="I283" s="95"/>
      <c r="J283" s="95"/>
      <c r="K283" s="95"/>
      <c r="L283" s="95"/>
      <c r="M283" s="95"/>
      <c r="N283" s="95"/>
      <c r="O283"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3" manualBreakCount="3">
    <brk id="52" max="14" man="1"/>
    <brk id="116" max="14" man="1"/>
    <brk id="183" max="1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sheetPr>
  <dimension ref="A1:IV283"/>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5.2699999999999997E-2</v>
      </c>
      <c r="L16" s="17" t="s">
        <v>133</v>
      </c>
      <c r="M16" s="129">
        <v>0.94730000000000003</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40256</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74"/>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74"/>
      <c r="N22" s="174"/>
      <c r="O22" s="8"/>
      <c r="P22" s="5"/>
    </row>
    <row r="23" spans="1:16" ht="15.6" x14ac:dyDescent="0.3">
      <c r="A23" s="24"/>
      <c r="B23" s="25" t="s">
        <v>7</v>
      </c>
      <c r="C23" s="26"/>
      <c r="D23" s="26" t="s">
        <v>134</v>
      </c>
      <c r="E23" s="26"/>
      <c r="F23" s="26" t="s">
        <v>152</v>
      </c>
      <c r="G23" s="26"/>
      <c r="H23" s="26" t="s">
        <v>135</v>
      </c>
      <c r="I23" s="26"/>
      <c r="J23" s="26"/>
      <c r="K23" s="26"/>
      <c r="L23" s="26"/>
      <c r="M23" s="175"/>
      <c r="N23" s="175"/>
      <c r="O23" s="25"/>
      <c r="P23" s="5"/>
    </row>
    <row r="24" spans="1:16" ht="15.6" x14ac:dyDescent="0.3">
      <c r="A24" s="28"/>
      <c r="B24" s="124" t="s">
        <v>162</v>
      </c>
      <c r="C24" s="118"/>
      <c r="D24" s="26" t="s">
        <v>134</v>
      </c>
      <c r="E24" s="26"/>
      <c r="F24" s="26" t="s">
        <v>152</v>
      </c>
      <c r="G24" s="26"/>
      <c r="H24" s="26" t="s">
        <v>135</v>
      </c>
      <c r="I24" s="26"/>
      <c r="J24" s="26"/>
      <c r="K24" s="118"/>
      <c r="L24" s="26"/>
      <c r="M24" s="175"/>
      <c r="N24" s="175"/>
      <c r="O24" s="25"/>
      <c r="P24" s="5"/>
    </row>
    <row r="25" spans="1:16" ht="15.6" x14ac:dyDescent="0.3">
      <c r="A25" s="24"/>
      <c r="B25" s="29" t="s">
        <v>163</v>
      </c>
      <c r="C25" s="26"/>
      <c r="D25" s="118" t="s">
        <v>134</v>
      </c>
      <c r="E25" s="118"/>
      <c r="F25" s="118" t="s">
        <v>152</v>
      </c>
      <c r="G25" s="118"/>
      <c r="H25" s="118" t="s">
        <v>135</v>
      </c>
      <c r="I25" s="118"/>
      <c r="J25" s="118"/>
      <c r="K25" s="26"/>
      <c r="L25" s="30"/>
      <c r="M25" s="175"/>
      <c r="N25" s="175"/>
      <c r="O25" s="25"/>
      <c r="P25" s="5"/>
    </row>
    <row r="26" spans="1:16" ht="15.6" x14ac:dyDescent="0.3">
      <c r="A26" s="24"/>
      <c r="B26" s="143" t="s">
        <v>164</v>
      </c>
      <c r="C26" s="26"/>
      <c r="D26" s="118" t="s">
        <v>134</v>
      </c>
      <c r="E26" s="118"/>
      <c r="F26" s="118" t="s">
        <v>152</v>
      </c>
      <c r="G26" s="118"/>
      <c r="H26" s="118" t="s">
        <v>135</v>
      </c>
      <c r="I26" s="118"/>
      <c r="J26" s="118"/>
      <c r="K26" s="26"/>
      <c r="L26" s="30"/>
      <c r="M26" s="175"/>
      <c r="N26" s="175"/>
      <c r="O26" s="25"/>
      <c r="P26" s="5"/>
    </row>
    <row r="27" spans="1:16" ht="15.6" x14ac:dyDescent="0.3">
      <c r="A27" s="24"/>
      <c r="B27" s="25" t="s">
        <v>8</v>
      </c>
      <c r="C27" s="32"/>
      <c r="D27" s="26" t="s">
        <v>218</v>
      </c>
      <c r="E27" s="26"/>
      <c r="F27" s="26" t="s">
        <v>219</v>
      </c>
      <c r="G27" s="26"/>
      <c r="H27" s="26" t="s">
        <v>220</v>
      </c>
      <c r="I27" s="26"/>
      <c r="J27" s="26"/>
      <c r="K27" s="31"/>
      <c r="L27" s="31"/>
      <c r="M27" s="176"/>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117796.32860000001</v>
      </c>
      <c r="E29" s="31"/>
      <c r="F29" s="31">
        <f>F28*F32</f>
        <v>3759.3962999999999</v>
      </c>
      <c r="G29" s="31"/>
      <c r="H29" s="31">
        <f>H28*H32</f>
        <v>3759.3962999999999</v>
      </c>
      <c r="I29" s="31"/>
      <c r="J29" s="119"/>
      <c r="K29" s="31"/>
      <c r="L29" s="31"/>
      <c r="M29" s="176"/>
      <c r="N29" s="31">
        <f>SUM(D29:H29)</f>
        <v>125315.12119999999</v>
      </c>
      <c r="O29" s="34"/>
      <c r="P29" s="5"/>
    </row>
    <row r="30" spans="1:16" ht="15.6" x14ac:dyDescent="0.3">
      <c r="A30" s="24"/>
      <c r="B30" s="29" t="s">
        <v>130</v>
      </c>
      <c r="C30" s="32"/>
      <c r="D30" s="35">
        <f>D28*D31</f>
        <v>113965.31140000001</v>
      </c>
      <c r="E30" s="35"/>
      <c r="F30" s="35">
        <f>F28*F31</f>
        <v>3637.12923</v>
      </c>
      <c r="G30" s="35"/>
      <c r="H30" s="35">
        <f>H28*H31</f>
        <v>3637.12923</v>
      </c>
      <c r="I30" s="35"/>
      <c r="J30" s="120"/>
      <c r="K30" s="31"/>
      <c r="L30" s="31"/>
      <c r="M30" s="176"/>
      <c r="N30" s="145">
        <f>SUM(D30:I30)</f>
        <v>121239.56986000002</v>
      </c>
      <c r="O30" s="34"/>
      <c r="P30" s="5"/>
    </row>
    <row r="31" spans="1:16" ht="15.6" x14ac:dyDescent="0.3">
      <c r="A31" s="24"/>
      <c r="B31" s="117" t="s">
        <v>126</v>
      </c>
      <c r="C31" s="25"/>
      <c r="D31" s="171">
        <v>0.43748680000000001</v>
      </c>
      <c r="E31" s="171"/>
      <c r="F31" s="171">
        <v>0.89805659999999998</v>
      </c>
      <c r="G31" s="171"/>
      <c r="H31" s="171">
        <v>0.89805659999999998</v>
      </c>
      <c r="I31" s="128"/>
      <c r="J31" s="128"/>
      <c r="K31" s="30"/>
      <c r="L31" s="30"/>
      <c r="M31" s="175"/>
      <c r="N31" s="175"/>
      <c r="O31" s="25"/>
      <c r="P31" s="5"/>
    </row>
    <row r="32" spans="1:16" ht="15.6" x14ac:dyDescent="0.3">
      <c r="A32" s="24"/>
      <c r="B32" s="117" t="s">
        <v>127</v>
      </c>
      <c r="C32" s="25"/>
      <c r="D32" s="171">
        <v>0.45219320000000002</v>
      </c>
      <c r="E32" s="171"/>
      <c r="F32" s="171">
        <v>0.92824600000000002</v>
      </c>
      <c r="G32" s="171"/>
      <c r="H32" s="171">
        <v>0.92824600000000002</v>
      </c>
      <c r="I32" s="128"/>
      <c r="J32" s="128"/>
      <c r="K32" s="39"/>
      <c r="L32" s="38"/>
      <c r="M32" s="175"/>
      <c r="N32" s="39"/>
      <c r="O32" s="25"/>
      <c r="P32" s="5"/>
    </row>
    <row r="33" spans="1:17" ht="15.6" x14ac:dyDescent="0.3">
      <c r="A33" s="24"/>
      <c r="B33" s="25" t="s">
        <v>9</v>
      </c>
      <c r="C33" s="25"/>
      <c r="D33" s="30" t="s">
        <v>192</v>
      </c>
      <c r="E33" s="30"/>
      <c r="F33" s="30" t="s">
        <v>194</v>
      </c>
      <c r="G33" s="30"/>
      <c r="H33" s="30" t="s">
        <v>196</v>
      </c>
      <c r="I33" s="30"/>
      <c r="J33" s="30"/>
      <c r="K33" s="39"/>
      <c r="L33" s="38"/>
      <c r="M33" s="175"/>
      <c r="N33" s="175"/>
      <c r="O33" s="25"/>
      <c r="P33" s="5"/>
    </row>
    <row r="34" spans="1:17" ht="15.6" x14ac:dyDescent="0.3">
      <c r="A34" s="24"/>
      <c r="B34" s="25" t="s">
        <v>10</v>
      </c>
      <c r="C34" s="25"/>
      <c r="D34" s="38">
        <v>7.2563000000000002E-3</v>
      </c>
      <c r="E34" s="39"/>
      <c r="F34" s="38">
        <v>7.8563000000000001E-3</v>
      </c>
      <c r="G34" s="39"/>
      <c r="H34" s="38">
        <v>8.8562999999999992E-3</v>
      </c>
      <c r="I34" s="39"/>
      <c r="J34" s="38"/>
      <c r="K34" s="39"/>
      <c r="L34" s="38"/>
      <c r="M34" s="175"/>
      <c r="N34" s="39">
        <f>SUMPRODUCT(D34:H34,D29:H29)/N29</f>
        <v>7.3222989934239487E-3</v>
      </c>
      <c r="O34" s="25"/>
      <c r="P34" s="5"/>
    </row>
    <row r="35" spans="1:17" ht="15.6" x14ac:dyDescent="0.3">
      <c r="A35" s="24"/>
      <c r="B35" s="25" t="s">
        <v>11</v>
      </c>
      <c r="C35" s="25"/>
      <c r="D35" s="38">
        <v>7.3062999999999999E-3</v>
      </c>
      <c r="E35" s="39"/>
      <c r="F35" s="38">
        <v>7.9062999999999998E-3</v>
      </c>
      <c r="G35" s="39"/>
      <c r="H35" s="38">
        <v>8.9063000000000007E-3</v>
      </c>
      <c r="I35" s="38"/>
      <c r="J35" s="38"/>
      <c r="K35" s="39"/>
      <c r="L35" s="38"/>
      <c r="M35" s="175"/>
      <c r="N35" s="39" t="s">
        <v>165</v>
      </c>
      <c r="O35" s="25"/>
      <c r="P35" s="5"/>
    </row>
    <row r="36" spans="1:17" ht="15.6" x14ac:dyDescent="0.3">
      <c r="A36" s="24"/>
      <c r="B36" s="25" t="s">
        <v>12</v>
      </c>
      <c r="C36" s="25"/>
      <c r="D36" s="105">
        <v>40617</v>
      </c>
      <c r="E36" s="105"/>
      <c r="F36" s="105">
        <v>40617</v>
      </c>
      <c r="G36" s="105"/>
      <c r="H36" s="105">
        <v>40617</v>
      </c>
      <c r="I36" s="105"/>
      <c r="J36" s="105"/>
      <c r="K36" s="30"/>
      <c r="L36" s="30"/>
      <c r="M36" s="175"/>
      <c r="N36" s="175"/>
      <c r="O36" s="25"/>
      <c r="P36" s="5"/>
    </row>
    <row r="37" spans="1:17" ht="15.6" x14ac:dyDescent="0.3">
      <c r="A37" s="24"/>
      <c r="B37" s="25" t="s">
        <v>13</v>
      </c>
      <c r="C37" s="25"/>
      <c r="D37" s="105">
        <v>40983</v>
      </c>
      <c r="E37" s="30"/>
      <c r="F37" s="105">
        <v>40983</v>
      </c>
      <c r="G37" s="30"/>
      <c r="H37" s="105">
        <v>40983</v>
      </c>
      <c r="I37" s="30"/>
      <c r="J37" s="105"/>
      <c r="K37" s="30"/>
      <c r="L37" s="30"/>
      <c r="M37" s="175"/>
      <c r="N37" s="175"/>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8"/>
      <c r="G39" s="30"/>
      <c r="H39" s="38"/>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6.3828706916515293E-2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40252</v>
      </c>
      <c r="O45" s="25"/>
      <c r="P45" s="5"/>
    </row>
    <row r="46" spans="1:17" ht="15.6" x14ac:dyDescent="0.3">
      <c r="A46" s="24"/>
      <c r="B46" s="25" t="s">
        <v>119</v>
      </c>
      <c r="C46" s="25"/>
      <c r="D46" s="56"/>
      <c r="E46" s="56"/>
      <c r="F46" s="56"/>
      <c r="G46" s="56"/>
      <c r="H46" s="56"/>
      <c r="I46" s="56"/>
      <c r="J46" s="25">
        <f>+N46-L46+1</f>
        <v>91</v>
      </c>
      <c r="K46" s="56"/>
      <c r="L46" s="44">
        <v>40071</v>
      </c>
      <c r="M46" s="45"/>
      <c r="N46" s="44">
        <v>40161</v>
      </c>
      <c r="O46" s="25"/>
      <c r="P46" s="5"/>
    </row>
    <row r="47" spans="1:17" ht="15.6" x14ac:dyDescent="0.3">
      <c r="A47" s="24"/>
      <c r="B47" s="25" t="s">
        <v>120</v>
      </c>
      <c r="C47" s="25"/>
      <c r="D47" s="25"/>
      <c r="E47" s="25"/>
      <c r="F47" s="25"/>
      <c r="G47" s="25"/>
      <c r="H47" s="25"/>
      <c r="I47" s="25"/>
      <c r="J47" s="25">
        <f>+N47-L47+1</f>
        <v>90</v>
      </c>
      <c r="K47" s="25"/>
      <c r="L47" s="44">
        <v>40162</v>
      </c>
      <c r="M47" s="45"/>
      <c r="N47" s="44">
        <v>40251</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40238</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255</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125315</v>
      </c>
      <c r="G57" s="34"/>
      <c r="H57" s="34">
        <f>4075+1497+725</f>
        <v>6297</v>
      </c>
      <c r="I57" s="34"/>
      <c r="J57" s="34">
        <f>1497+725</f>
        <v>2222</v>
      </c>
      <c r="K57" s="34"/>
      <c r="L57" s="34">
        <v>0</v>
      </c>
      <c r="M57" s="34"/>
      <c r="N57" s="52">
        <f>+F57-H57+J57-L57</f>
        <v>121240</v>
      </c>
      <c r="O57" s="25"/>
      <c r="P57" s="5"/>
    </row>
    <row r="58" spans="1:16" ht="15.6" x14ac:dyDescent="0.3">
      <c r="A58" s="24"/>
      <c r="B58" s="25" t="s">
        <v>209</v>
      </c>
      <c r="C58" s="34"/>
      <c r="D58" s="34">
        <v>756</v>
      </c>
      <c r="E58" s="34"/>
      <c r="F58" s="52">
        <v>501</v>
      </c>
      <c r="G58" s="34"/>
      <c r="H58" s="34">
        <v>10</v>
      </c>
      <c r="I58" s="34"/>
      <c r="J58" s="34">
        <v>0</v>
      </c>
      <c r="K58" s="34"/>
      <c r="L58" s="34">
        <v>0</v>
      </c>
      <c r="M58" s="34"/>
      <c r="N58" s="52">
        <f>+F58-H58</f>
        <v>491</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125816</v>
      </c>
      <c r="G60" s="34"/>
      <c r="H60" s="34">
        <f>SUM(H57:H59)</f>
        <v>6307</v>
      </c>
      <c r="I60" s="34"/>
      <c r="J60" s="34">
        <f>SUM(J57:J59)</f>
        <v>2222</v>
      </c>
      <c r="K60" s="34"/>
      <c r="L60" s="34">
        <f>SUM(L57:L59)</f>
        <v>0</v>
      </c>
      <c r="M60" s="34"/>
      <c r="N60" s="53">
        <f>SUM(N57:N59)</f>
        <v>121731</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-501</v>
      </c>
      <c r="G69" s="34"/>
      <c r="H69" s="34"/>
      <c r="I69" s="34"/>
      <c r="J69" s="34"/>
      <c r="K69" s="34"/>
      <c r="L69" s="34"/>
      <c r="M69" s="34"/>
      <c r="N69" s="52">
        <f>-N58</f>
        <v>-491</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0</v>
      </c>
      <c r="G71" s="34"/>
      <c r="H71" s="34">
        <v>0</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125315</v>
      </c>
      <c r="G73" s="34"/>
      <c r="H73" s="34"/>
      <c r="I73" s="34"/>
      <c r="J73" s="34"/>
      <c r="K73" s="34"/>
      <c r="L73" s="53"/>
      <c r="M73" s="34"/>
      <c r="N73" s="53">
        <f>SUM(N60:N72)</f>
        <v>121240</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+L184</f>
        <v>40235</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0</v>
      </c>
      <c r="M77" s="25"/>
      <c r="N77" s="52">
        <v>0</v>
      </c>
      <c r="O77" s="25"/>
      <c r="P77" s="5"/>
    </row>
    <row r="78" spans="1:16" ht="15.6" x14ac:dyDescent="0.3">
      <c r="A78" s="24"/>
      <c r="B78" s="25" t="s">
        <v>27</v>
      </c>
      <c r="C78" s="25"/>
      <c r="D78" s="40"/>
      <c r="E78" s="25"/>
      <c r="F78" s="121"/>
      <c r="G78" s="25"/>
      <c r="H78" s="25"/>
      <c r="I78" s="25"/>
      <c r="J78" s="25"/>
      <c r="K78" s="25"/>
      <c r="L78" s="34">
        <v>6297</v>
      </c>
      <c r="M78" s="25"/>
      <c r="N78" s="52"/>
      <c r="O78" s="25"/>
      <c r="P78" s="5"/>
    </row>
    <row r="79" spans="1:16" ht="15.6" x14ac:dyDescent="0.3">
      <c r="A79" s="24"/>
      <c r="B79" s="25" t="s">
        <v>176</v>
      </c>
      <c r="C79" s="25"/>
      <c r="D79" s="40"/>
      <c r="E79" s="25"/>
      <c r="F79" s="121"/>
      <c r="G79" s="25"/>
      <c r="H79" s="25"/>
      <c r="I79" s="25"/>
      <c r="J79" s="25"/>
      <c r="K79" s="25"/>
      <c r="L79" s="34"/>
      <c r="M79" s="25"/>
      <c r="N79" s="52">
        <f>2605+130+1284-3192-65-474</f>
        <v>288</v>
      </c>
      <c r="O79" s="25"/>
      <c r="P79" s="5"/>
    </row>
    <row r="80" spans="1:16" ht="15.6" x14ac:dyDescent="0.3">
      <c r="A80" s="24"/>
      <c r="B80" s="25" t="s">
        <v>174</v>
      </c>
      <c r="C80" s="25"/>
      <c r="D80" s="40"/>
      <c r="E80" s="25"/>
      <c r="F80" s="121"/>
      <c r="G80" s="25"/>
      <c r="H80" s="25"/>
      <c r="I80" s="25"/>
      <c r="J80" s="25"/>
      <c r="K80" s="25"/>
      <c r="L80" s="34"/>
      <c r="M80" s="25"/>
      <c r="N80" s="52">
        <f>96+1+11</f>
        <v>108</v>
      </c>
      <c r="O80" s="25"/>
      <c r="P80" s="5"/>
    </row>
    <row r="81" spans="1:17" ht="15.6" x14ac:dyDescent="0.3">
      <c r="A81" s="24"/>
      <c r="B81" s="25" t="s">
        <v>175</v>
      </c>
      <c r="C81" s="25"/>
      <c r="D81" s="40"/>
      <c r="E81" s="25"/>
      <c r="F81" s="121"/>
      <c r="G81" s="25"/>
      <c r="H81" s="25"/>
      <c r="I81" s="25"/>
      <c r="J81" s="25"/>
      <c r="K81" s="25"/>
      <c r="L81" s="34"/>
      <c r="M81" s="25"/>
      <c r="N81" s="52">
        <v>5</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0</v>
      </c>
      <c r="O83" s="25"/>
      <c r="P83" s="5"/>
    </row>
    <row r="84" spans="1:17" ht="15.6" x14ac:dyDescent="0.3">
      <c r="A84" s="24"/>
      <c r="B84" s="25" t="s">
        <v>28</v>
      </c>
      <c r="C84" s="25"/>
      <c r="D84" s="25"/>
      <c r="E84" s="25"/>
      <c r="F84" s="25"/>
      <c r="G84" s="25"/>
      <c r="H84" s="25"/>
      <c r="I84" s="25"/>
      <c r="J84" s="25"/>
      <c r="K84" s="25"/>
      <c r="L84" s="34">
        <f>SUM(L77:L83)</f>
        <v>6297</v>
      </c>
      <c r="M84" s="25"/>
      <c r="N84" s="53">
        <f>SUM(N77:N83)</f>
        <v>401</v>
      </c>
      <c r="O84" s="25"/>
      <c r="P84" s="5"/>
    </row>
    <row r="85" spans="1:17" ht="15.6" x14ac:dyDescent="0.3">
      <c r="A85" s="24"/>
      <c r="B85" s="25" t="s">
        <v>148</v>
      </c>
      <c r="C85" s="25"/>
      <c r="D85" s="25"/>
      <c r="E85" s="25"/>
      <c r="F85" s="25"/>
      <c r="G85" s="25"/>
      <c r="H85" s="25"/>
      <c r="I85" s="25"/>
      <c r="J85" s="25"/>
      <c r="K85" s="25"/>
      <c r="L85" s="34">
        <v>-1498</v>
      </c>
      <c r="M85" s="25"/>
      <c r="N85" s="53">
        <f>-L85</f>
        <v>1498</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244</v>
      </c>
      <c r="C87" s="25"/>
      <c r="D87" s="25"/>
      <c r="E87" s="25"/>
      <c r="F87" s="25"/>
      <c r="G87" s="25"/>
      <c r="H87" s="25"/>
      <c r="I87" s="25"/>
      <c r="J87" s="25"/>
      <c r="K87" s="25"/>
      <c r="L87" s="34"/>
      <c r="M87" s="25"/>
      <c r="N87" s="52">
        <v>0</v>
      </c>
      <c r="O87" s="25"/>
      <c r="P87" s="5"/>
    </row>
    <row r="88" spans="1:17" ht="15.6" x14ac:dyDescent="0.3">
      <c r="A88" s="24"/>
      <c r="B88" s="25" t="s">
        <v>30</v>
      </c>
      <c r="C88" s="25"/>
      <c r="D88" s="25"/>
      <c r="E88" s="25"/>
      <c r="F88" s="25"/>
      <c r="G88" s="25"/>
      <c r="H88" s="25"/>
      <c r="I88" s="25"/>
      <c r="J88" s="25"/>
      <c r="K88" s="25"/>
      <c r="L88" s="34">
        <f>L84+L86+L85</f>
        <v>4799</v>
      </c>
      <c r="M88" s="25"/>
      <c r="N88" s="53">
        <f>N84+N86+N85+N87</f>
        <v>1899</v>
      </c>
      <c r="O88" s="25"/>
      <c r="P88" s="5"/>
    </row>
    <row r="89" spans="1:17" ht="15.6" x14ac:dyDescent="0.3">
      <c r="A89" s="24"/>
      <c r="B89" s="113" t="s">
        <v>31</v>
      </c>
      <c r="C89" s="25"/>
      <c r="D89" s="25"/>
      <c r="E89" s="25"/>
      <c r="F89" s="25"/>
      <c r="G89" s="25"/>
      <c r="H89" s="25"/>
      <c r="I89" s="25"/>
      <c r="J89" s="25"/>
      <c r="K89" s="25"/>
      <c r="L89" s="34"/>
      <c r="M89" s="25"/>
      <c r="N89" s="52"/>
      <c r="O89" s="25"/>
      <c r="P89" s="5"/>
    </row>
    <row r="90" spans="1:17" ht="15.6" x14ac:dyDescent="0.3">
      <c r="A90" s="24">
        <v>1</v>
      </c>
      <c r="B90" s="25" t="s">
        <v>32</v>
      </c>
      <c r="C90" s="25"/>
      <c r="D90" s="25"/>
      <c r="E90" s="25"/>
      <c r="F90" s="25"/>
      <c r="G90" s="25"/>
      <c r="H90" s="25"/>
      <c r="I90" s="25"/>
      <c r="J90" s="25"/>
      <c r="K90" s="25"/>
      <c r="L90" s="25"/>
      <c r="M90" s="25"/>
      <c r="N90" s="52">
        <v>0</v>
      </c>
      <c r="O90" s="25"/>
      <c r="P90" s="5"/>
    </row>
    <row r="91" spans="1:17" ht="15.6" x14ac:dyDescent="0.3">
      <c r="A91" s="24">
        <f>+A90+1</f>
        <v>2</v>
      </c>
      <c r="B91" s="25" t="s">
        <v>224</v>
      </c>
      <c r="C91" s="25"/>
      <c r="D91" s="25"/>
      <c r="E91" s="25"/>
      <c r="F91" s="25"/>
      <c r="G91" s="25"/>
      <c r="H91" s="25"/>
      <c r="I91" s="25"/>
      <c r="J91" s="25"/>
      <c r="K91" s="25"/>
      <c r="L91" s="25"/>
      <c r="M91" s="25"/>
      <c r="N91" s="52">
        <v>-2</v>
      </c>
      <c r="O91" s="25"/>
      <c r="P91" s="5"/>
    </row>
    <row r="92" spans="1:17" ht="15.6" x14ac:dyDescent="0.3">
      <c r="A92" s="24">
        <f>+A91+1</f>
        <v>3</v>
      </c>
      <c r="B92" s="25" t="s">
        <v>235</v>
      </c>
      <c r="C92" s="25"/>
      <c r="D92" s="25"/>
      <c r="E92" s="25"/>
      <c r="F92" s="25"/>
      <c r="G92" s="25"/>
      <c r="H92" s="25"/>
      <c r="I92" s="25"/>
      <c r="J92" s="25"/>
      <c r="K92" s="25"/>
      <c r="L92" s="25"/>
      <c r="M92" s="25"/>
      <c r="N92" s="52">
        <f>-47-1-6</f>
        <v>-54</v>
      </c>
      <c r="O92" s="25"/>
      <c r="P92" s="5"/>
    </row>
    <row r="93" spans="1:17" ht="15.6" x14ac:dyDescent="0.3">
      <c r="A93" s="24" t="s">
        <v>123</v>
      </c>
      <c r="B93" s="25" t="s">
        <v>116</v>
      </c>
      <c r="C93" s="25"/>
      <c r="D93" s="25"/>
      <c r="E93" s="25"/>
      <c r="F93" s="25"/>
      <c r="G93" s="25"/>
      <c r="H93" s="25"/>
      <c r="I93" s="25"/>
      <c r="J93" s="25"/>
      <c r="K93" s="25"/>
      <c r="L93" s="25"/>
      <c r="M93" s="25"/>
      <c r="N93" s="52">
        <v>0</v>
      </c>
      <c r="O93" s="25"/>
      <c r="P93" s="5"/>
    </row>
    <row r="94" spans="1:17" ht="15.6" x14ac:dyDescent="0.3">
      <c r="A94" s="24" t="s">
        <v>124</v>
      </c>
      <c r="B94" s="25" t="s">
        <v>214</v>
      </c>
      <c r="C94" s="25"/>
      <c r="D94" s="25"/>
      <c r="E94" s="25"/>
      <c r="F94" s="25"/>
      <c r="G94" s="25"/>
      <c r="H94" s="25"/>
      <c r="I94" s="25"/>
      <c r="J94" s="25"/>
      <c r="K94" s="25"/>
      <c r="L94" s="25"/>
      <c r="M94" s="25"/>
      <c r="N94" s="52">
        <v>-211</v>
      </c>
      <c r="O94" s="25"/>
      <c r="P94" s="5"/>
    </row>
    <row r="95" spans="1:17" ht="15.6" x14ac:dyDescent="0.3">
      <c r="A95" s="24" t="s">
        <v>140</v>
      </c>
      <c r="B95" s="25" t="s">
        <v>180</v>
      </c>
      <c r="C95" s="25"/>
      <c r="D95" s="25"/>
      <c r="E95" s="25"/>
      <c r="F95" s="25"/>
      <c r="G95" s="25"/>
      <c r="H95" s="25"/>
      <c r="I95" s="25"/>
      <c r="J95" s="25"/>
      <c r="K95" s="25"/>
      <c r="L95" s="25"/>
      <c r="M95" s="25"/>
      <c r="N95" s="52">
        <v>-1</v>
      </c>
      <c r="O95" s="25"/>
      <c r="P95" s="5"/>
    </row>
    <row r="96" spans="1:17" ht="15.6" x14ac:dyDescent="0.3">
      <c r="A96" s="24" t="s">
        <v>169</v>
      </c>
      <c r="B96" s="25" t="s">
        <v>215</v>
      </c>
      <c r="C96" s="25"/>
      <c r="D96" s="25"/>
      <c r="E96" s="25"/>
      <c r="F96" s="25"/>
      <c r="G96" s="25"/>
      <c r="H96" s="25"/>
      <c r="I96" s="25"/>
      <c r="J96" s="25"/>
      <c r="K96" s="25"/>
      <c r="L96" s="25"/>
      <c r="M96" s="25"/>
      <c r="N96" s="52">
        <v>-7</v>
      </c>
      <c r="O96" s="25"/>
      <c r="P96" s="5"/>
      <c r="Q96" s="104"/>
    </row>
    <row r="97" spans="1:17" ht="15.6" x14ac:dyDescent="0.3">
      <c r="A97" s="24" t="s">
        <v>170</v>
      </c>
      <c r="B97" s="25" t="s">
        <v>216</v>
      </c>
      <c r="C97" s="25"/>
      <c r="D97" s="25"/>
      <c r="E97" s="25"/>
      <c r="F97" s="25"/>
      <c r="G97" s="25"/>
      <c r="H97" s="25"/>
      <c r="I97" s="25"/>
      <c r="J97" s="25"/>
      <c r="K97" s="25"/>
      <c r="L97" s="25"/>
      <c r="M97" s="25"/>
      <c r="N97" s="52">
        <v>-8</v>
      </c>
      <c r="O97" s="25"/>
      <c r="P97" s="5"/>
      <c r="Q97" s="104"/>
    </row>
    <row r="98" spans="1:17" ht="15.6" x14ac:dyDescent="0.3">
      <c r="A98" s="24">
        <v>7</v>
      </c>
      <c r="B98" s="25" t="s">
        <v>33</v>
      </c>
      <c r="C98" s="25"/>
      <c r="D98" s="25"/>
      <c r="E98" s="25"/>
      <c r="F98" s="25"/>
      <c r="G98" s="25"/>
      <c r="H98" s="25"/>
      <c r="I98" s="25"/>
      <c r="J98" s="25"/>
      <c r="K98" s="25"/>
      <c r="L98" s="25"/>
      <c r="M98" s="25"/>
      <c r="N98" s="52">
        <v>-9</v>
      </c>
      <c r="O98" s="25"/>
      <c r="P98" s="5"/>
    </row>
    <row r="99" spans="1:17" ht="15.6" x14ac:dyDescent="0.3">
      <c r="A99" s="24">
        <f t="shared" ref="A99:A105" si="0">+A98+1</f>
        <v>8</v>
      </c>
      <c r="B99" s="25" t="s">
        <v>42</v>
      </c>
      <c r="C99" s="25"/>
      <c r="D99" s="25"/>
      <c r="E99" s="25"/>
      <c r="F99" s="25"/>
      <c r="G99" s="25"/>
      <c r="H99" s="25"/>
      <c r="I99" s="25"/>
      <c r="J99" s="25"/>
      <c r="K99" s="25"/>
      <c r="L99" s="34">
        <f>-N99</f>
        <v>0</v>
      </c>
      <c r="M99" s="25"/>
      <c r="N99" s="52">
        <v>0</v>
      </c>
      <c r="O99" s="25"/>
      <c r="P99" s="5"/>
    </row>
    <row r="100" spans="1:17" ht="15.6" x14ac:dyDescent="0.3">
      <c r="A100" s="24">
        <f t="shared" si="0"/>
        <v>9</v>
      </c>
      <c r="B100" s="25" t="s">
        <v>121</v>
      </c>
      <c r="C100" s="25"/>
      <c r="D100" s="25"/>
      <c r="E100" s="25"/>
      <c r="F100" s="25"/>
      <c r="G100" s="25"/>
      <c r="H100" s="25"/>
      <c r="I100" s="25"/>
      <c r="J100" s="25"/>
      <c r="K100" s="25"/>
      <c r="L100" s="25"/>
      <c r="M100" s="25"/>
      <c r="N100" s="52">
        <v>0</v>
      </c>
      <c r="O100" s="25"/>
      <c r="P100" s="5"/>
    </row>
    <row r="101" spans="1:17" ht="15.6" x14ac:dyDescent="0.3">
      <c r="A101" s="24">
        <f t="shared" si="0"/>
        <v>10</v>
      </c>
      <c r="B101" s="25" t="s">
        <v>182</v>
      </c>
      <c r="C101" s="25"/>
      <c r="D101" s="25"/>
      <c r="E101" s="25"/>
      <c r="F101" s="25"/>
      <c r="G101" s="25"/>
      <c r="H101" s="25"/>
      <c r="I101" s="25"/>
      <c r="J101" s="25"/>
      <c r="K101" s="25"/>
      <c r="L101" s="25"/>
      <c r="M101" s="25"/>
      <c r="N101" s="52">
        <v>0</v>
      </c>
      <c r="O101" s="25"/>
      <c r="P101" s="5"/>
    </row>
    <row r="102" spans="1:17" ht="15.6" x14ac:dyDescent="0.3">
      <c r="A102" s="24">
        <f t="shared" si="0"/>
        <v>11</v>
      </c>
      <c r="B102" s="25" t="s">
        <v>34</v>
      </c>
      <c r="C102" s="25"/>
      <c r="D102" s="25"/>
      <c r="E102" s="25"/>
      <c r="F102" s="25"/>
      <c r="G102" s="25"/>
      <c r="H102" s="25"/>
      <c r="I102" s="25"/>
      <c r="J102" s="25"/>
      <c r="K102" s="25"/>
      <c r="L102" s="25"/>
      <c r="M102" s="25"/>
      <c r="N102" s="52">
        <v>0</v>
      </c>
      <c r="O102" s="25"/>
      <c r="P102" s="5"/>
    </row>
    <row r="103" spans="1:17" ht="15.6" x14ac:dyDescent="0.3">
      <c r="A103" s="24">
        <f t="shared" si="0"/>
        <v>12</v>
      </c>
      <c r="B103" s="25" t="s">
        <v>181</v>
      </c>
      <c r="C103" s="25"/>
      <c r="D103" s="25"/>
      <c r="E103" s="25"/>
      <c r="F103" s="25"/>
      <c r="G103" s="25"/>
      <c r="H103" s="25"/>
      <c r="I103" s="25"/>
      <c r="J103" s="25"/>
      <c r="K103" s="25"/>
      <c r="L103" s="25"/>
      <c r="M103" s="25"/>
      <c r="N103" s="52">
        <v>0</v>
      </c>
      <c r="O103" s="25"/>
      <c r="P103" s="5"/>
    </row>
    <row r="104" spans="1:17" ht="15.6" x14ac:dyDescent="0.3">
      <c r="A104" s="24">
        <f t="shared" si="0"/>
        <v>13</v>
      </c>
      <c r="B104" s="25" t="s">
        <v>139</v>
      </c>
      <c r="C104" s="25"/>
      <c r="D104" s="25"/>
      <c r="E104" s="25"/>
      <c r="F104" s="25"/>
      <c r="G104" s="25"/>
      <c r="H104" s="25"/>
      <c r="I104" s="25"/>
      <c r="J104" s="25"/>
      <c r="K104" s="25"/>
      <c r="L104" s="25"/>
      <c r="M104" s="25"/>
      <c r="N104" s="52">
        <v>-46</v>
      </c>
      <c r="O104" s="25"/>
      <c r="P104" s="5"/>
    </row>
    <row r="105" spans="1:17" ht="15.6" x14ac:dyDescent="0.3">
      <c r="A105" s="24">
        <f t="shared" si="0"/>
        <v>14</v>
      </c>
      <c r="B105" s="25" t="s">
        <v>122</v>
      </c>
      <c r="C105" s="25"/>
      <c r="D105" s="25"/>
      <c r="E105" s="25"/>
      <c r="F105" s="25"/>
      <c r="G105" s="25"/>
      <c r="H105" s="25"/>
      <c r="I105" s="25"/>
      <c r="J105" s="25"/>
      <c r="K105" s="25"/>
      <c r="L105" s="25"/>
      <c r="M105" s="25"/>
      <c r="N105" s="52">
        <f>-N88-SUM(N90:N104)</f>
        <v>-1561</v>
      </c>
      <c r="O105" s="25"/>
      <c r="P105" s="5"/>
    </row>
    <row r="106" spans="1:17" ht="15.6" x14ac:dyDescent="0.3">
      <c r="A106" s="24"/>
      <c r="B106" s="113" t="s">
        <v>35</v>
      </c>
      <c r="C106" s="25"/>
      <c r="D106" s="25"/>
      <c r="E106" s="25"/>
      <c r="F106" s="25"/>
      <c r="G106" s="25"/>
      <c r="H106" s="25"/>
      <c r="I106" s="25"/>
      <c r="J106" s="25"/>
      <c r="K106" s="25"/>
      <c r="L106" s="25"/>
      <c r="M106" s="25"/>
      <c r="N106" s="57"/>
      <c r="O106" s="25"/>
      <c r="P106" s="5"/>
    </row>
    <row r="107" spans="1:17" ht="15.6" x14ac:dyDescent="0.3">
      <c r="A107" s="24"/>
      <c r="B107" s="25" t="s">
        <v>160</v>
      </c>
      <c r="C107" s="25"/>
      <c r="D107" s="25"/>
      <c r="E107" s="25"/>
      <c r="F107" s="25"/>
      <c r="G107" s="25"/>
      <c r="H107" s="25"/>
      <c r="I107" s="25"/>
      <c r="J107" s="25"/>
      <c r="K107" s="25"/>
      <c r="L107" s="34">
        <v>0</v>
      </c>
      <c r="M107" s="34"/>
      <c r="N107" s="52"/>
      <c r="O107" s="25"/>
      <c r="P107" s="5"/>
    </row>
    <row r="108" spans="1:17" ht="15.6" x14ac:dyDescent="0.3">
      <c r="A108" s="24"/>
      <c r="B108" s="25" t="s">
        <v>161</v>
      </c>
      <c r="C108" s="25"/>
      <c r="D108" s="25"/>
      <c r="E108" s="25"/>
      <c r="F108" s="25"/>
      <c r="G108" s="25"/>
      <c r="H108" s="25"/>
      <c r="I108" s="25"/>
      <c r="J108" s="25"/>
      <c r="K108" s="25"/>
      <c r="L108" s="34">
        <v>-724</v>
      </c>
      <c r="M108" s="34"/>
      <c r="N108" s="52"/>
      <c r="O108" s="25"/>
      <c r="P108" s="5"/>
    </row>
    <row r="109" spans="1:17" ht="15.6" x14ac:dyDescent="0.3">
      <c r="A109" s="24"/>
      <c r="B109" s="25" t="s">
        <v>200</v>
      </c>
      <c r="C109" s="25"/>
      <c r="D109" s="25"/>
      <c r="E109" s="25"/>
      <c r="F109" s="25"/>
      <c r="G109" s="25"/>
      <c r="H109" s="25"/>
      <c r="I109" s="25"/>
      <c r="J109" s="25"/>
      <c r="K109" s="25"/>
      <c r="L109" s="34">
        <v>-3831</v>
      </c>
      <c r="M109" s="34"/>
      <c r="N109" s="52"/>
      <c r="O109" s="25"/>
      <c r="P109" s="5"/>
    </row>
    <row r="110" spans="1:17" ht="15.6" x14ac:dyDescent="0.3">
      <c r="A110" s="24"/>
      <c r="B110" s="25" t="s">
        <v>201</v>
      </c>
      <c r="C110" s="25"/>
      <c r="D110" s="25"/>
      <c r="E110" s="25"/>
      <c r="F110" s="25"/>
      <c r="G110" s="25"/>
      <c r="H110" s="25"/>
      <c r="I110" s="25"/>
      <c r="J110" s="25"/>
      <c r="K110" s="25"/>
      <c r="L110" s="34">
        <v>-122</v>
      </c>
      <c r="M110" s="34"/>
      <c r="N110" s="52"/>
      <c r="O110" s="25"/>
      <c r="P110" s="5"/>
    </row>
    <row r="111" spans="1:17" ht="15.6" x14ac:dyDescent="0.3">
      <c r="A111" s="24"/>
      <c r="B111" s="25" t="s">
        <v>202</v>
      </c>
      <c r="C111" s="25"/>
      <c r="D111" s="25"/>
      <c r="E111" s="25"/>
      <c r="F111" s="25"/>
      <c r="G111" s="25"/>
      <c r="H111" s="25"/>
      <c r="I111" s="25"/>
      <c r="J111" s="25"/>
      <c r="K111" s="25"/>
      <c r="L111" s="34">
        <v>-122</v>
      </c>
      <c r="M111" s="34"/>
      <c r="N111" s="52"/>
      <c r="O111" s="25"/>
      <c r="P111" s="5"/>
    </row>
    <row r="112" spans="1:17" ht="15.6" x14ac:dyDescent="0.3">
      <c r="A112" s="24"/>
      <c r="B112" s="25" t="s">
        <v>36</v>
      </c>
      <c r="C112" s="25"/>
      <c r="D112" s="25"/>
      <c r="E112" s="25"/>
      <c r="F112" s="25"/>
      <c r="G112" s="25"/>
      <c r="H112" s="25"/>
      <c r="I112" s="25"/>
      <c r="J112" s="25"/>
      <c r="K112" s="25"/>
      <c r="L112" s="34">
        <f>SUM(L107:L111)</f>
        <v>-4799</v>
      </c>
      <c r="M112" s="34"/>
      <c r="N112" s="34">
        <f>SUM(N89:N110)</f>
        <v>-1899</v>
      </c>
      <c r="O112" s="25"/>
      <c r="P112" s="5"/>
    </row>
    <row r="113" spans="1:17" ht="15.6" x14ac:dyDescent="0.3">
      <c r="A113" s="24"/>
      <c r="B113" s="25" t="s">
        <v>37</v>
      </c>
      <c r="C113" s="25"/>
      <c r="D113" s="25"/>
      <c r="E113" s="25"/>
      <c r="F113" s="25"/>
      <c r="G113" s="25"/>
      <c r="H113" s="25"/>
      <c r="I113" s="25"/>
      <c r="J113" s="25"/>
      <c r="K113" s="25"/>
      <c r="L113" s="34">
        <f>L88+L112+L99</f>
        <v>0</v>
      </c>
      <c r="M113" s="34"/>
      <c r="N113" s="34">
        <f>N88+N112</f>
        <v>0</v>
      </c>
      <c r="O113" s="25"/>
      <c r="P113" s="5"/>
    </row>
    <row r="114" spans="1:17" ht="15.6" x14ac:dyDescent="0.3">
      <c r="A114" s="24"/>
      <c r="B114" s="25"/>
      <c r="C114" s="25"/>
      <c r="D114" s="25"/>
      <c r="E114" s="25"/>
      <c r="F114" s="25"/>
      <c r="G114" s="25"/>
      <c r="H114" s="25"/>
      <c r="I114" s="25"/>
      <c r="J114" s="25"/>
      <c r="K114" s="25"/>
      <c r="L114" s="34"/>
      <c r="M114" s="34"/>
      <c r="N114" s="34"/>
      <c r="O114" s="25"/>
      <c r="P114" s="5"/>
    </row>
    <row r="115" spans="1:17" ht="15.6" x14ac:dyDescent="0.3">
      <c r="A115" s="6"/>
      <c r="B115" s="8"/>
      <c r="C115" s="8"/>
      <c r="D115" s="8"/>
      <c r="E115" s="8"/>
      <c r="F115" s="8"/>
      <c r="G115" s="8"/>
      <c r="H115" s="8"/>
      <c r="I115" s="8"/>
      <c r="J115" s="8"/>
      <c r="K115" s="8"/>
      <c r="L115" s="8"/>
      <c r="M115" s="8"/>
      <c r="N115" s="51"/>
      <c r="O115" s="8"/>
      <c r="P115" s="5"/>
    </row>
    <row r="116" spans="1:17" ht="18" thickBot="1" x14ac:dyDescent="0.35">
      <c r="A116" s="96"/>
      <c r="B116" s="97" t="str">
        <f>B52</f>
        <v>FF7 INVESTOR REPORT QUARTER ENDING FEBRUARY 2010</v>
      </c>
      <c r="C116" s="98"/>
      <c r="D116" s="98"/>
      <c r="E116" s="98"/>
      <c r="F116" s="98"/>
      <c r="G116" s="98"/>
      <c r="H116" s="98"/>
      <c r="I116" s="98"/>
      <c r="J116" s="98"/>
      <c r="K116" s="98"/>
      <c r="L116" s="98"/>
      <c r="M116" s="98"/>
      <c r="N116" s="101"/>
      <c r="O116" s="100"/>
      <c r="P116" s="5"/>
    </row>
    <row r="117" spans="1:17" ht="15.6" x14ac:dyDescent="0.3">
      <c r="A117" s="2"/>
      <c r="B117" s="58" t="s">
        <v>38</v>
      </c>
      <c r="C117" s="4"/>
      <c r="D117" s="4"/>
      <c r="E117" s="4"/>
      <c r="F117" s="4"/>
      <c r="G117" s="4"/>
      <c r="H117" s="4"/>
      <c r="I117" s="4"/>
      <c r="J117" s="4"/>
      <c r="K117" s="4"/>
      <c r="L117" s="4"/>
      <c r="M117" s="4"/>
      <c r="N117" s="49"/>
      <c r="O117" s="4"/>
      <c r="P117" s="5"/>
    </row>
    <row r="118" spans="1:17" ht="15.6" x14ac:dyDescent="0.3">
      <c r="A118" s="6"/>
      <c r="B118" s="21"/>
      <c r="C118" s="8"/>
      <c r="D118" s="8"/>
      <c r="E118" s="8"/>
      <c r="F118" s="8"/>
      <c r="G118" s="8"/>
      <c r="H118" s="8"/>
      <c r="I118" s="8"/>
      <c r="J118" s="8"/>
      <c r="K118" s="8"/>
      <c r="L118" s="8"/>
      <c r="M118" s="8"/>
      <c r="N118" s="51"/>
      <c r="O118" s="8"/>
      <c r="P118" s="5"/>
    </row>
    <row r="119" spans="1:17" ht="15.6" x14ac:dyDescent="0.3">
      <c r="A119" s="6"/>
      <c r="B119" s="114" t="s">
        <v>39</v>
      </c>
      <c r="C119" s="8"/>
      <c r="D119" s="8"/>
      <c r="E119" s="8"/>
      <c r="F119" s="8"/>
      <c r="G119" s="8"/>
      <c r="H119" s="8"/>
      <c r="I119" s="8"/>
      <c r="J119" s="8"/>
      <c r="K119" s="8"/>
      <c r="L119" s="8"/>
      <c r="M119" s="8"/>
      <c r="N119" s="51"/>
      <c r="O119" s="8"/>
      <c r="P119" s="5"/>
    </row>
    <row r="120" spans="1:17" ht="15.6" x14ac:dyDescent="0.3">
      <c r="A120" s="24"/>
      <c r="B120" s="25" t="s">
        <v>40</v>
      </c>
      <c r="C120" s="25"/>
      <c r="D120" s="25"/>
      <c r="E120" s="25"/>
      <c r="F120" s="25"/>
      <c r="G120" s="25"/>
      <c r="H120" s="25"/>
      <c r="I120" s="25"/>
      <c r="J120" s="25"/>
      <c r="K120" s="25"/>
      <c r="L120" s="25"/>
      <c r="M120" s="25"/>
      <c r="N120" s="52">
        <f>N28*0.003</f>
        <v>805.80000000000007</v>
      </c>
      <c r="O120" s="25"/>
      <c r="P120" s="5"/>
    </row>
    <row r="121" spans="1:17" ht="15.6" x14ac:dyDescent="0.3">
      <c r="A121" s="24"/>
      <c r="B121" s="25" t="s">
        <v>41</v>
      </c>
      <c r="C121" s="25"/>
      <c r="D121" s="25"/>
      <c r="E121" s="25"/>
      <c r="F121" s="25"/>
      <c r="G121" s="25"/>
      <c r="H121" s="25"/>
      <c r="I121" s="25"/>
      <c r="J121" s="25"/>
      <c r="K121" s="25"/>
      <c r="L121" s="25"/>
      <c r="M121" s="25"/>
      <c r="N121" s="52">
        <v>806</v>
      </c>
      <c r="O121" s="25"/>
      <c r="P121" s="5"/>
    </row>
    <row r="122" spans="1:17" ht="15.6" x14ac:dyDescent="0.3">
      <c r="A122" s="24"/>
      <c r="B122" s="25" t="s">
        <v>132</v>
      </c>
      <c r="C122" s="25"/>
      <c r="D122" s="25"/>
      <c r="E122" s="25"/>
      <c r="F122" s="25"/>
      <c r="G122" s="25"/>
      <c r="H122" s="25"/>
      <c r="I122" s="25"/>
      <c r="J122" s="25"/>
      <c r="K122" s="25"/>
      <c r="L122" s="25"/>
      <c r="M122" s="25"/>
      <c r="N122" s="52">
        <v>0</v>
      </c>
      <c r="O122" s="25"/>
      <c r="P122" s="5"/>
    </row>
    <row r="123" spans="1:17" ht="15.6" x14ac:dyDescent="0.3">
      <c r="A123" s="24"/>
      <c r="B123" s="25" t="s">
        <v>221</v>
      </c>
      <c r="C123" s="25"/>
      <c r="D123" s="25"/>
      <c r="E123" s="25"/>
      <c r="F123" s="25"/>
      <c r="G123" s="25"/>
      <c r="H123" s="25"/>
      <c r="I123" s="25"/>
      <c r="J123" s="25"/>
      <c r="K123" s="25"/>
      <c r="L123" s="25"/>
      <c r="M123" s="25"/>
      <c r="N123" s="52">
        <v>0</v>
      </c>
      <c r="O123" s="25"/>
      <c r="P123" s="5"/>
    </row>
    <row r="124" spans="1:17" ht="15.6" x14ac:dyDescent="0.3">
      <c r="A124" s="24"/>
      <c r="B124" s="25" t="s">
        <v>222</v>
      </c>
      <c r="C124" s="25"/>
      <c r="D124" s="25"/>
      <c r="E124" s="25"/>
      <c r="F124" s="25"/>
      <c r="G124" s="25"/>
      <c r="H124" s="25"/>
      <c r="I124" s="25"/>
      <c r="J124" s="25"/>
      <c r="K124" s="25"/>
      <c r="L124" s="25"/>
      <c r="M124" s="25"/>
      <c r="N124" s="52">
        <v>0</v>
      </c>
      <c r="O124" s="25"/>
      <c r="P124" s="5"/>
    </row>
    <row r="125" spans="1:17" ht="15.6" x14ac:dyDescent="0.3">
      <c r="A125" s="24"/>
      <c r="B125" s="25" t="s">
        <v>223</v>
      </c>
      <c r="C125" s="25"/>
      <c r="D125" s="25"/>
      <c r="E125" s="25"/>
      <c r="F125" s="25"/>
      <c r="G125" s="25"/>
      <c r="H125" s="25"/>
      <c r="I125" s="25"/>
      <c r="J125" s="25"/>
      <c r="K125" s="25"/>
      <c r="L125" s="25"/>
      <c r="M125" s="25"/>
      <c r="N125" s="52">
        <v>0</v>
      </c>
      <c r="O125" s="25"/>
      <c r="P125" s="5"/>
    </row>
    <row r="126" spans="1:17" ht="15.6" x14ac:dyDescent="0.3">
      <c r="A126" s="24"/>
      <c r="B126" s="25" t="s">
        <v>42</v>
      </c>
      <c r="C126" s="25"/>
      <c r="D126" s="25"/>
      <c r="E126" s="25"/>
      <c r="F126" s="25"/>
      <c r="G126" s="25"/>
      <c r="H126" s="25"/>
      <c r="I126" s="25"/>
      <c r="J126" s="25"/>
      <c r="K126" s="25"/>
      <c r="L126" s="25"/>
      <c r="M126" s="25"/>
      <c r="N126" s="52">
        <v>0</v>
      </c>
      <c r="O126" s="25"/>
      <c r="P126" s="5"/>
    </row>
    <row r="127" spans="1:17" ht="15.6" x14ac:dyDescent="0.3">
      <c r="A127" s="24"/>
      <c r="B127" s="25" t="s">
        <v>125</v>
      </c>
      <c r="C127" s="25"/>
      <c r="D127" s="25"/>
      <c r="E127" s="25"/>
      <c r="F127" s="25"/>
      <c r="G127" s="25"/>
      <c r="H127" s="25"/>
      <c r="I127" s="25"/>
      <c r="J127" s="25"/>
      <c r="K127" s="25"/>
      <c r="L127" s="25"/>
      <c r="M127" s="25"/>
      <c r="N127" s="52">
        <v>0</v>
      </c>
      <c r="O127" s="25"/>
      <c r="P127" s="5"/>
    </row>
    <row r="128" spans="1:17" ht="15.6" x14ac:dyDescent="0.3">
      <c r="A128" s="24"/>
      <c r="B128" s="25" t="s">
        <v>225</v>
      </c>
      <c r="C128" s="25"/>
      <c r="D128" s="25"/>
      <c r="E128" s="25"/>
      <c r="F128" s="25"/>
      <c r="G128" s="25"/>
      <c r="H128" s="25"/>
      <c r="I128" s="25"/>
      <c r="J128" s="25"/>
      <c r="K128" s="25"/>
      <c r="L128" s="25"/>
      <c r="M128" s="25"/>
      <c r="N128" s="52">
        <v>0</v>
      </c>
      <c r="O128" s="25"/>
      <c r="P128" s="5"/>
      <c r="Q128" s="104"/>
    </row>
    <row r="129" spans="1:16" ht="15.6" x14ac:dyDescent="0.3">
      <c r="A129" s="24"/>
      <c r="B129" s="25" t="s">
        <v>43</v>
      </c>
      <c r="C129" s="25"/>
      <c r="D129" s="25"/>
      <c r="E129" s="25"/>
      <c r="F129" s="25"/>
      <c r="G129" s="25"/>
      <c r="H129" s="25"/>
      <c r="I129" s="25"/>
      <c r="J129" s="25"/>
      <c r="K129" s="25"/>
      <c r="L129" s="25"/>
      <c r="M129" s="25"/>
      <c r="N129" s="52">
        <f>SUM(N121:N128)</f>
        <v>806</v>
      </c>
      <c r="O129" s="25"/>
      <c r="P129" s="5"/>
    </row>
    <row r="130" spans="1:16" ht="15.6" x14ac:dyDescent="0.3">
      <c r="A130" s="24"/>
      <c r="B130" s="25"/>
      <c r="C130" s="25"/>
      <c r="D130" s="25"/>
      <c r="E130" s="25"/>
      <c r="F130" s="25"/>
      <c r="G130" s="25"/>
      <c r="H130" s="25"/>
      <c r="I130" s="25"/>
      <c r="J130" s="25"/>
      <c r="K130" s="25"/>
      <c r="L130" s="25"/>
      <c r="M130" s="25"/>
      <c r="N130" s="52"/>
      <c r="O130" s="25"/>
      <c r="P130" s="5"/>
    </row>
    <row r="131" spans="1:16" ht="15.6" x14ac:dyDescent="0.3">
      <c r="A131" s="24"/>
      <c r="B131" s="130" t="s">
        <v>179</v>
      </c>
      <c r="C131" s="25"/>
      <c r="D131" s="25"/>
      <c r="E131" s="25"/>
      <c r="F131" s="25"/>
      <c r="G131" s="25"/>
      <c r="H131" s="25"/>
      <c r="I131" s="25"/>
      <c r="J131" s="25"/>
      <c r="K131" s="25"/>
      <c r="L131" s="25"/>
      <c r="M131" s="25"/>
      <c r="N131" s="52"/>
      <c r="O131" s="25"/>
      <c r="P131" s="5"/>
    </row>
    <row r="132" spans="1:16" ht="15.6" x14ac:dyDescent="0.3">
      <c r="A132" s="24"/>
      <c r="B132" s="25" t="s">
        <v>144</v>
      </c>
      <c r="C132" s="25"/>
      <c r="D132" s="25"/>
      <c r="E132" s="25"/>
      <c r="F132" s="25"/>
      <c r="G132" s="25"/>
      <c r="H132" s="25"/>
      <c r="I132" s="25"/>
      <c r="J132" s="25"/>
      <c r="K132" s="25"/>
      <c r="L132" s="25"/>
      <c r="M132" s="25"/>
      <c r="N132" s="52">
        <v>7098</v>
      </c>
      <c r="O132" s="25"/>
      <c r="P132" s="5"/>
    </row>
    <row r="133" spans="1:16" ht="15.6" x14ac:dyDescent="0.3">
      <c r="A133" s="24"/>
      <c r="B133" s="25" t="s">
        <v>159</v>
      </c>
      <c r="C133" s="25"/>
      <c r="D133" s="25"/>
      <c r="E133" s="25"/>
      <c r="F133" s="25"/>
      <c r="G133" s="25"/>
      <c r="H133" s="25"/>
      <c r="I133" s="25"/>
      <c r="J133" s="25"/>
      <c r="K133" s="25"/>
      <c r="L133" s="25"/>
      <c r="M133" s="25"/>
      <c r="N133" s="52">
        <v>0</v>
      </c>
      <c r="O133" s="25"/>
      <c r="P133" s="5"/>
    </row>
    <row r="134" spans="1:16" ht="15.6" x14ac:dyDescent="0.3">
      <c r="A134" s="24"/>
      <c r="B134" s="25" t="s">
        <v>183</v>
      </c>
      <c r="C134" s="25"/>
      <c r="D134" s="25"/>
      <c r="E134" s="25"/>
      <c r="F134" s="25"/>
      <c r="G134" s="25"/>
      <c r="H134" s="25"/>
      <c r="I134" s="25"/>
      <c r="J134" s="25"/>
      <c r="K134" s="25"/>
      <c r="L134" s="25"/>
      <c r="M134" s="25"/>
      <c r="N134" s="52">
        <v>3350</v>
      </c>
      <c r="O134" s="25"/>
      <c r="P134" s="5"/>
    </row>
    <row r="135" spans="1:16" ht="15.6" x14ac:dyDescent="0.3">
      <c r="A135" s="24"/>
      <c r="B135" s="25"/>
      <c r="C135" s="25"/>
      <c r="D135" s="25"/>
      <c r="E135" s="25"/>
      <c r="F135" s="25"/>
      <c r="G135" s="25"/>
      <c r="H135" s="25"/>
      <c r="I135" s="25"/>
      <c r="J135" s="25"/>
      <c r="K135" s="25"/>
      <c r="L135" s="25"/>
      <c r="M135" s="25"/>
      <c r="N135" s="52"/>
      <c r="O135" s="25"/>
      <c r="P135" s="5"/>
    </row>
    <row r="136" spans="1:16" ht="15.6" x14ac:dyDescent="0.3">
      <c r="A136" s="24"/>
      <c r="B136" s="25"/>
      <c r="C136" s="25"/>
      <c r="D136" s="25"/>
      <c r="E136" s="25"/>
      <c r="F136" s="25"/>
      <c r="G136" s="25"/>
      <c r="H136" s="25"/>
      <c r="I136" s="25"/>
      <c r="J136" s="25"/>
      <c r="K136" s="25"/>
      <c r="L136" s="25"/>
      <c r="M136" s="25"/>
      <c r="N136" s="59"/>
      <c r="O136" s="25"/>
      <c r="P136" s="5"/>
    </row>
    <row r="137" spans="1:16" ht="15.6" x14ac:dyDescent="0.3">
      <c r="A137" s="6"/>
      <c r="B137" s="114" t="s">
        <v>22</v>
      </c>
      <c r="C137" s="8"/>
      <c r="D137" s="8"/>
      <c r="E137" s="8"/>
      <c r="F137" s="8"/>
      <c r="G137" s="8"/>
      <c r="H137" s="8"/>
      <c r="I137" s="8"/>
      <c r="J137" s="8"/>
      <c r="K137" s="8"/>
      <c r="L137" s="8"/>
      <c r="M137" s="8"/>
      <c r="N137" s="51"/>
      <c r="O137" s="8"/>
      <c r="P137" s="5"/>
    </row>
    <row r="138" spans="1:16" ht="15.6" x14ac:dyDescent="0.3">
      <c r="A138" s="24"/>
      <c r="B138" s="25" t="s">
        <v>44</v>
      </c>
      <c r="C138" s="25"/>
      <c r="D138" s="25"/>
      <c r="E138" s="25"/>
      <c r="F138" s="25"/>
      <c r="G138" s="25"/>
      <c r="H138" s="25"/>
      <c r="I138" s="25"/>
      <c r="J138" s="25"/>
      <c r="K138" s="25"/>
      <c r="L138" s="25"/>
      <c r="M138" s="25"/>
      <c r="N138" s="57" t="s">
        <v>117</v>
      </c>
      <c r="O138" s="25"/>
      <c r="P138" s="5"/>
    </row>
    <row r="139" spans="1:16" ht="15.6" x14ac:dyDescent="0.3">
      <c r="A139" s="24"/>
      <c r="B139" s="25" t="s">
        <v>45</v>
      </c>
      <c r="C139" s="175"/>
      <c r="D139" s="175"/>
      <c r="E139" s="175"/>
      <c r="F139" s="175"/>
      <c r="G139" s="175"/>
      <c r="H139" s="175"/>
      <c r="I139" s="175"/>
      <c r="J139" s="175"/>
      <c r="K139" s="175"/>
      <c r="L139" s="175"/>
      <c r="M139" s="175"/>
      <c r="N139" s="57" t="s">
        <v>117</v>
      </c>
      <c r="O139" s="25"/>
      <c r="P139" s="5"/>
    </row>
    <row r="140" spans="1:16" ht="15.6" x14ac:dyDescent="0.3">
      <c r="A140" s="24"/>
      <c r="B140" s="25" t="s">
        <v>46</v>
      </c>
      <c r="C140" s="25"/>
      <c r="D140" s="25"/>
      <c r="E140" s="25"/>
      <c r="F140" s="25"/>
      <c r="G140" s="25"/>
      <c r="H140" s="25"/>
      <c r="I140" s="25"/>
      <c r="J140" s="25"/>
      <c r="K140" s="25"/>
      <c r="L140" s="25"/>
      <c r="M140" s="25"/>
      <c r="N140" s="57" t="s">
        <v>117</v>
      </c>
      <c r="O140" s="25"/>
      <c r="P140" s="5"/>
    </row>
    <row r="141" spans="1:16" ht="15.6" x14ac:dyDescent="0.3">
      <c r="A141" s="24"/>
      <c r="B141" s="25" t="s">
        <v>47</v>
      </c>
      <c r="C141" s="25"/>
      <c r="D141" s="25"/>
      <c r="E141" s="25"/>
      <c r="F141" s="25"/>
      <c r="G141" s="25"/>
      <c r="H141" s="25"/>
      <c r="I141" s="25"/>
      <c r="J141" s="25"/>
      <c r="K141" s="25"/>
      <c r="L141" s="25"/>
      <c r="M141" s="25"/>
      <c r="N141" s="57" t="s">
        <v>117</v>
      </c>
      <c r="O141" s="25"/>
      <c r="P141" s="5"/>
    </row>
    <row r="142" spans="1:16" ht="15.6" x14ac:dyDescent="0.3">
      <c r="A142" s="24"/>
      <c r="B142" s="25"/>
      <c r="C142" s="25"/>
      <c r="D142" s="25"/>
      <c r="E142" s="25"/>
      <c r="F142" s="25"/>
      <c r="G142" s="25"/>
      <c r="H142" s="25"/>
      <c r="I142" s="25"/>
      <c r="J142" s="25"/>
      <c r="K142" s="25"/>
      <c r="L142" s="25"/>
      <c r="M142" s="25"/>
      <c r="N142" s="59"/>
      <c r="O142" s="25"/>
      <c r="P142" s="5"/>
    </row>
    <row r="143" spans="1:16" ht="15.6" x14ac:dyDescent="0.3">
      <c r="A143" s="6"/>
      <c r="B143" s="114" t="s">
        <v>48</v>
      </c>
      <c r="C143" s="8"/>
      <c r="D143" s="8"/>
      <c r="E143" s="8"/>
      <c r="F143" s="8"/>
      <c r="G143" s="8"/>
      <c r="H143" s="8"/>
      <c r="I143" s="8"/>
      <c r="J143" s="8"/>
      <c r="K143" s="8"/>
      <c r="L143" s="8"/>
      <c r="M143" s="8"/>
      <c r="N143" s="61"/>
      <c r="O143" s="8"/>
      <c r="P143" s="5"/>
    </row>
    <row r="144" spans="1:16" ht="15.6" x14ac:dyDescent="0.3">
      <c r="A144" s="24"/>
      <c r="B144" s="25" t="s">
        <v>49</v>
      </c>
      <c r="C144" s="25"/>
      <c r="D144" s="25"/>
      <c r="E144" s="25"/>
      <c r="F144" s="25"/>
      <c r="G144" s="25"/>
      <c r="H144" s="25"/>
      <c r="I144" s="25"/>
      <c r="J144" s="25"/>
      <c r="K144" s="25"/>
      <c r="L144" s="25"/>
      <c r="M144" s="25"/>
      <c r="N144" s="52">
        <v>0</v>
      </c>
      <c r="O144" s="25"/>
      <c r="P144" s="5"/>
    </row>
    <row r="145" spans="1:256" ht="15.6" x14ac:dyDescent="0.3">
      <c r="A145" s="24"/>
      <c r="B145" s="25" t="s">
        <v>50</v>
      </c>
      <c r="C145" s="25"/>
      <c r="D145" s="25"/>
      <c r="E145" s="25"/>
      <c r="F145" s="25"/>
      <c r="G145" s="25"/>
      <c r="H145" s="25"/>
      <c r="I145" s="25"/>
      <c r="J145" s="25"/>
      <c r="K145" s="25"/>
      <c r="L145" s="25"/>
      <c r="M145" s="25"/>
      <c r="N145" s="52">
        <v>0</v>
      </c>
      <c r="O145" s="25"/>
      <c r="P145" s="5"/>
    </row>
    <row r="146" spans="1:256" ht="15.6" x14ac:dyDescent="0.3">
      <c r="A146" s="24"/>
      <c r="B146" s="25" t="s">
        <v>51</v>
      </c>
      <c r="C146" s="25"/>
      <c r="D146" s="25"/>
      <c r="E146" s="25"/>
      <c r="F146" s="25"/>
      <c r="G146" s="25"/>
      <c r="H146" s="25"/>
      <c r="I146" s="25"/>
      <c r="J146" s="25"/>
      <c r="K146" s="25"/>
      <c r="L146" s="25"/>
      <c r="M146" s="25"/>
      <c r="N146" s="52">
        <f>N145+N144</f>
        <v>0</v>
      </c>
      <c r="O146" s="25"/>
      <c r="P146" s="5"/>
    </row>
    <row r="147" spans="1:256" ht="15.6" x14ac:dyDescent="0.3">
      <c r="A147" s="24"/>
      <c r="B147" s="25" t="s">
        <v>264</v>
      </c>
      <c r="C147" s="25"/>
      <c r="D147" s="25"/>
      <c r="E147" s="25"/>
      <c r="F147" s="25"/>
      <c r="G147" s="25"/>
      <c r="H147" s="25"/>
      <c r="I147" s="25"/>
      <c r="J147" s="25"/>
      <c r="K147" s="25"/>
      <c r="L147" s="25"/>
      <c r="M147" s="25"/>
      <c r="N147" s="52">
        <v>0</v>
      </c>
      <c r="O147" s="25"/>
      <c r="P147" s="5"/>
    </row>
    <row r="148" spans="1:256" ht="15.6" x14ac:dyDescent="0.3">
      <c r="A148" s="24"/>
      <c r="B148" s="25" t="s">
        <v>52</v>
      </c>
      <c r="C148" s="25"/>
      <c r="D148" s="25"/>
      <c r="E148" s="25"/>
      <c r="F148" s="25"/>
      <c r="G148" s="25"/>
      <c r="H148" s="25"/>
      <c r="I148" s="25"/>
      <c r="J148" s="25"/>
      <c r="K148" s="25"/>
      <c r="L148" s="25"/>
      <c r="M148" s="25"/>
      <c r="N148" s="52">
        <f>N146+N147</f>
        <v>0</v>
      </c>
      <c r="O148" s="25"/>
      <c r="P148" s="5"/>
    </row>
    <row r="149" spans="1:256" ht="16.2" thickBot="1" x14ac:dyDescent="0.35">
      <c r="A149" s="24"/>
      <c r="B149" s="25"/>
      <c r="C149" s="25"/>
      <c r="D149" s="25"/>
      <c r="E149" s="25"/>
      <c r="F149" s="25"/>
      <c r="G149" s="25"/>
      <c r="H149" s="25"/>
      <c r="I149" s="25"/>
      <c r="J149" s="25"/>
      <c r="K149" s="25"/>
      <c r="L149" s="25"/>
      <c r="M149" s="25"/>
      <c r="N149" s="59"/>
      <c r="O149" s="25"/>
      <c r="P149" s="5"/>
    </row>
    <row r="150" spans="1:256" ht="15.6" x14ac:dyDescent="0.3">
      <c r="A150" s="2"/>
      <c r="B150" s="4"/>
      <c r="C150" s="4"/>
      <c r="D150" s="4"/>
      <c r="E150" s="4"/>
      <c r="F150" s="4"/>
      <c r="G150" s="4"/>
      <c r="H150" s="4"/>
      <c r="I150" s="4"/>
      <c r="J150" s="4"/>
      <c r="K150" s="4"/>
      <c r="L150" s="4"/>
      <c r="M150" s="4"/>
      <c r="N150" s="49"/>
      <c r="O150" s="4"/>
      <c r="P150" s="5"/>
    </row>
    <row r="151" spans="1:256" ht="15.6" x14ac:dyDescent="0.3">
      <c r="A151" s="6"/>
      <c r="B151" s="114" t="s">
        <v>53</v>
      </c>
      <c r="C151" s="8"/>
      <c r="D151" s="8"/>
      <c r="E151" s="8"/>
      <c r="F151" s="8"/>
      <c r="G151" s="8"/>
      <c r="H151" s="8"/>
      <c r="I151" s="8"/>
      <c r="J151" s="8"/>
      <c r="K151" s="8"/>
      <c r="L151" s="8"/>
      <c r="M151" s="8"/>
      <c r="N151" s="51"/>
      <c r="O151" s="8"/>
      <c r="P151" s="5"/>
    </row>
    <row r="152" spans="1:256" ht="15.6" x14ac:dyDescent="0.3">
      <c r="A152" s="6"/>
      <c r="B152" s="21"/>
      <c r="C152" s="8"/>
      <c r="D152" s="8"/>
      <c r="E152" s="8"/>
      <c r="F152" s="8"/>
      <c r="G152" s="8"/>
      <c r="H152" s="8"/>
      <c r="I152" s="8"/>
      <c r="J152" s="8"/>
      <c r="K152" s="8"/>
      <c r="L152" s="8"/>
      <c r="M152" s="8"/>
      <c r="N152" s="51"/>
      <c r="O152" s="8"/>
      <c r="P152" s="5"/>
    </row>
    <row r="153" spans="1:256" ht="15.6" x14ac:dyDescent="0.3">
      <c r="A153" s="24"/>
      <c r="B153" s="25" t="s">
        <v>234</v>
      </c>
      <c r="C153" s="25"/>
      <c r="D153" s="25"/>
      <c r="E153" s="25"/>
      <c r="F153" s="25"/>
      <c r="G153" s="25"/>
      <c r="H153" s="25"/>
      <c r="I153" s="25"/>
      <c r="J153" s="25"/>
      <c r="K153" s="25"/>
      <c r="L153" s="25"/>
      <c r="M153" s="25"/>
      <c r="N153" s="52">
        <f>N57</f>
        <v>121240</v>
      </c>
      <c r="O153" s="25"/>
      <c r="P153" s="5"/>
      <c r="Q153" s="104"/>
    </row>
    <row r="154" spans="1:256" ht="15.6" x14ac:dyDescent="0.3">
      <c r="A154" s="24"/>
      <c r="B154" s="25" t="s">
        <v>54</v>
      </c>
      <c r="C154" s="25"/>
      <c r="D154" s="25"/>
      <c r="E154" s="25"/>
      <c r="F154" s="25"/>
      <c r="G154" s="25"/>
      <c r="H154" s="25"/>
      <c r="I154" s="25"/>
      <c r="J154" s="25"/>
      <c r="K154" s="25"/>
      <c r="L154" s="25"/>
      <c r="M154" s="25"/>
      <c r="N154" s="52">
        <f>N73</f>
        <v>121240</v>
      </c>
      <c r="O154" s="25"/>
      <c r="P154" s="5"/>
    </row>
    <row r="155" spans="1:256" ht="16.2" thickBot="1" x14ac:dyDescent="0.35">
      <c r="A155" s="24"/>
      <c r="B155" s="25"/>
      <c r="C155" s="25"/>
      <c r="D155" s="25"/>
      <c r="E155" s="25"/>
      <c r="F155" s="25"/>
      <c r="G155" s="25"/>
      <c r="H155" s="25"/>
      <c r="I155" s="25"/>
      <c r="J155" s="25"/>
      <c r="K155" s="25"/>
      <c r="L155" s="25"/>
      <c r="M155" s="25"/>
      <c r="N155" s="59"/>
      <c r="O155" s="25"/>
      <c r="P155" s="5"/>
    </row>
    <row r="156" spans="1:256" s="150" customFormat="1" ht="15.6" x14ac:dyDescent="0.3">
      <c r="A156" s="2"/>
      <c r="B156" s="4"/>
      <c r="C156" s="4"/>
      <c r="D156" s="4"/>
      <c r="E156" s="4"/>
      <c r="F156" s="4"/>
      <c r="G156" s="4"/>
      <c r="H156" s="4"/>
      <c r="I156" s="4"/>
      <c r="J156" s="4"/>
      <c r="K156" s="4"/>
      <c r="L156" s="4"/>
      <c r="M156" s="4"/>
      <c r="N156" s="49"/>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s="153" customFormat="1" ht="15.6" x14ac:dyDescent="0.3">
      <c r="A157" s="6"/>
      <c r="B157" s="160" t="s">
        <v>205</v>
      </c>
      <c r="C157" s="151"/>
      <c r="D157" s="151"/>
      <c r="E157" s="151"/>
      <c r="F157" s="151"/>
      <c r="G157" s="151"/>
      <c r="H157" s="151"/>
      <c r="I157" s="151"/>
      <c r="J157" s="151"/>
      <c r="K157" s="151"/>
      <c r="L157" s="151"/>
      <c r="M157" s="151"/>
      <c r="N157" s="152"/>
      <c r="O157" s="151"/>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ht="16.2" thickBot="1" x14ac:dyDescent="0.35">
      <c r="A158" s="6"/>
      <c r="B158" s="151"/>
      <c r="C158" s="151"/>
      <c r="D158" s="151"/>
      <c r="E158" s="151"/>
      <c r="F158" s="151"/>
      <c r="G158" s="151"/>
      <c r="H158" s="151"/>
      <c r="I158" s="151"/>
      <c r="J158" s="151"/>
      <c r="K158" s="151"/>
      <c r="L158" s="151"/>
      <c r="M158" s="151"/>
      <c r="N158" s="152"/>
      <c r="O158" s="151"/>
      <c r="P158" s="5"/>
    </row>
    <row r="159" spans="1:256" s="156" customFormat="1" ht="15.6" x14ac:dyDescent="0.3">
      <c r="A159" s="2"/>
      <c r="B159" s="4" t="s">
        <v>206</v>
      </c>
      <c r="C159" s="4"/>
      <c r="D159" s="4"/>
      <c r="E159" s="4"/>
      <c r="F159" s="4"/>
      <c r="G159" s="4"/>
      <c r="H159" s="4"/>
      <c r="I159" s="4"/>
      <c r="J159" s="4"/>
      <c r="K159" s="4"/>
      <c r="L159" s="4"/>
      <c r="M159" s="4"/>
      <c r="N159" s="185">
        <f>+'Nov 09'!N162</f>
        <v>501</v>
      </c>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53" customFormat="1" ht="15.6" x14ac:dyDescent="0.3">
      <c r="A160" s="181"/>
      <c r="B160" s="182" t="s">
        <v>207</v>
      </c>
      <c r="C160" s="182"/>
      <c r="D160" s="182"/>
      <c r="E160" s="182"/>
      <c r="F160" s="182"/>
      <c r="G160" s="182"/>
      <c r="H160" s="182"/>
      <c r="I160" s="182"/>
      <c r="J160" s="182"/>
      <c r="K160" s="182"/>
      <c r="L160" s="182"/>
      <c r="M160" s="182"/>
      <c r="N160" s="183">
        <v>10</v>
      </c>
      <c r="O160" s="18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63" customFormat="1" ht="15.6" x14ac:dyDescent="0.3">
      <c r="A161" s="181"/>
      <c r="B161" s="182" t="s">
        <v>208</v>
      </c>
      <c r="C161" s="182"/>
      <c r="D161" s="182"/>
      <c r="E161" s="182"/>
      <c r="F161" s="182"/>
      <c r="G161" s="182"/>
      <c r="H161" s="182"/>
      <c r="I161" s="182"/>
      <c r="J161" s="182"/>
      <c r="K161" s="182"/>
      <c r="L161" s="182"/>
      <c r="M161" s="182"/>
      <c r="N161" s="183">
        <v>0</v>
      </c>
      <c r="O161" s="18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5.6" x14ac:dyDescent="0.3">
      <c r="A162" s="181"/>
      <c r="B162" s="182" t="s">
        <v>217</v>
      </c>
      <c r="C162" s="182"/>
      <c r="D162" s="182"/>
      <c r="E162" s="182"/>
      <c r="F162" s="182"/>
      <c r="G162" s="182"/>
      <c r="H162" s="182"/>
      <c r="I162" s="182"/>
      <c r="J162" s="182"/>
      <c r="K162" s="182"/>
      <c r="L162" s="182"/>
      <c r="M162" s="182"/>
      <c r="N162" s="183">
        <f>N159-N160-N161</f>
        <v>491</v>
      </c>
      <c r="O162" s="18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59" customFormat="1" ht="16.2" thickBot="1" x14ac:dyDescent="0.35">
      <c r="A163" s="6"/>
      <c r="B163" s="151"/>
      <c r="C163" s="151"/>
      <c r="D163" s="151"/>
      <c r="E163" s="151"/>
      <c r="F163" s="151"/>
      <c r="G163" s="151"/>
      <c r="H163" s="151"/>
      <c r="I163" s="151"/>
      <c r="J163" s="151"/>
      <c r="K163" s="151"/>
      <c r="L163" s="151"/>
      <c r="M163" s="151"/>
      <c r="N163" s="165"/>
      <c r="O163" s="151"/>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s="173" customFormat="1" ht="15.6" x14ac:dyDescent="0.3">
      <c r="A164" s="168"/>
      <c r="B164" s="169"/>
      <c r="C164" s="169"/>
      <c r="D164" s="169"/>
      <c r="E164" s="169"/>
      <c r="F164" s="169"/>
      <c r="G164" s="169"/>
      <c r="H164" s="169"/>
      <c r="I164" s="169"/>
      <c r="J164" s="169"/>
      <c r="K164" s="169"/>
      <c r="L164" s="169"/>
      <c r="M164" s="169"/>
      <c r="N164" s="170"/>
      <c r="O164" s="169"/>
      <c r="P164" s="172"/>
    </row>
    <row r="165" spans="1:256" ht="15.6" x14ac:dyDescent="0.3">
      <c r="A165" s="6"/>
      <c r="B165" s="114" t="s">
        <v>55</v>
      </c>
      <c r="C165" s="112"/>
      <c r="D165" s="115"/>
      <c r="E165" s="115"/>
      <c r="F165" s="115"/>
      <c r="G165" s="115"/>
      <c r="H165" s="115"/>
      <c r="I165" s="115"/>
      <c r="J165" s="115"/>
      <c r="K165" s="115" t="s">
        <v>98</v>
      </c>
      <c r="L165" s="115" t="s">
        <v>226</v>
      </c>
      <c r="M165" s="106"/>
      <c r="N165" s="116" t="s">
        <v>114</v>
      </c>
      <c r="O165" s="10"/>
      <c r="P165" s="5"/>
    </row>
    <row r="166" spans="1:256" ht="15.6" x14ac:dyDescent="0.3">
      <c r="A166" s="24"/>
      <c r="B166" s="25" t="s">
        <v>56</v>
      </c>
      <c r="C166" s="25"/>
      <c r="D166" s="25"/>
      <c r="E166" s="25"/>
      <c r="F166" s="25"/>
      <c r="G166" s="25"/>
      <c r="H166" s="25"/>
      <c r="I166" s="25"/>
      <c r="J166" s="25"/>
      <c r="K166" s="52" t="s">
        <v>117</v>
      </c>
      <c r="L166" s="40" t="s">
        <v>117</v>
      </c>
      <c r="M166" s="25"/>
      <c r="N166" s="52"/>
      <c r="O166" s="25"/>
      <c r="P166" s="5"/>
    </row>
    <row r="167" spans="1:256" ht="15.6" x14ac:dyDescent="0.3">
      <c r="A167" s="24"/>
      <c r="B167" s="25" t="s">
        <v>57</v>
      </c>
      <c r="C167" s="25"/>
      <c r="D167" s="25"/>
      <c r="E167" s="25"/>
      <c r="F167" s="25"/>
      <c r="G167" s="25"/>
      <c r="H167" s="25"/>
      <c r="I167" s="25"/>
      <c r="J167" s="25"/>
      <c r="K167" s="52">
        <v>0</v>
      </c>
      <c r="L167" s="52">
        <f>+'Nov 09'!L169</f>
        <v>10682</v>
      </c>
      <c r="M167" s="25"/>
      <c r="N167" s="52">
        <f>K167+L167</f>
        <v>10682</v>
      </c>
      <c r="O167" s="25"/>
      <c r="P167" s="5"/>
    </row>
    <row r="168" spans="1:256" ht="15.6" x14ac:dyDescent="0.3">
      <c r="A168" s="24"/>
      <c r="B168" s="25" t="s">
        <v>58</v>
      </c>
      <c r="C168" s="25"/>
      <c r="D168" s="25"/>
      <c r="E168" s="25"/>
      <c r="F168" s="25"/>
      <c r="G168" s="25"/>
      <c r="H168" s="25"/>
      <c r="I168" s="25"/>
      <c r="J168" s="25"/>
      <c r="K168" s="34">
        <v>0</v>
      </c>
      <c r="L168" s="34">
        <f>-L108</f>
        <v>724</v>
      </c>
      <c r="M168" s="25"/>
      <c r="N168" s="52">
        <f>K168+L168</f>
        <v>724</v>
      </c>
      <c r="O168" s="25"/>
      <c r="P168" s="5"/>
    </row>
    <row r="169" spans="1:256" ht="15.6" x14ac:dyDescent="0.3">
      <c r="A169" s="24"/>
      <c r="B169" s="25" t="s">
        <v>59</v>
      </c>
      <c r="C169" s="25"/>
      <c r="D169" s="25"/>
      <c r="E169" s="25"/>
      <c r="F169" s="25"/>
      <c r="G169" s="25"/>
      <c r="H169" s="25"/>
      <c r="I169" s="25"/>
      <c r="J169" s="25"/>
      <c r="K169" s="52">
        <f>K167+K168</f>
        <v>0</v>
      </c>
      <c r="L169" s="52">
        <f>L168+L167</f>
        <v>11406</v>
      </c>
      <c r="M169" s="25"/>
      <c r="N169" s="52">
        <f>K169+L169</f>
        <v>11406</v>
      </c>
      <c r="O169" s="25"/>
      <c r="P169" s="5"/>
    </row>
    <row r="170" spans="1:256" ht="15.6" x14ac:dyDescent="0.3">
      <c r="A170" s="24"/>
      <c r="B170" s="25" t="s">
        <v>60</v>
      </c>
      <c r="C170" s="25"/>
      <c r="D170" s="25"/>
      <c r="E170" s="25"/>
      <c r="F170" s="25"/>
      <c r="G170" s="25"/>
      <c r="H170" s="25"/>
      <c r="I170" s="25"/>
      <c r="J170" s="25"/>
      <c r="K170" s="52" t="s">
        <v>117</v>
      </c>
      <c r="L170" s="40" t="s">
        <v>117</v>
      </c>
      <c r="M170" s="25"/>
      <c r="N170" s="52"/>
      <c r="O170" s="25"/>
      <c r="P170" s="5"/>
    </row>
    <row r="171" spans="1:256" ht="16.2" thickBot="1" x14ac:dyDescent="0.35">
      <c r="A171" s="24"/>
      <c r="B171" s="25"/>
      <c r="C171" s="25"/>
      <c r="D171" s="25"/>
      <c r="E171" s="25"/>
      <c r="F171" s="25"/>
      <c r="G171" s="25"/>
      <c r="H171" s="25"/>
      <c r="I171" s="25"/>
      <c r="J171" s="25"/>
      <c r="K171" s="25"/>
      <c r="L171" s="25"/>
      <c r="M171" s="25"/>
      <c r="N171" s="59"/>
      <c r="O171" s="25"/>
      <c r="P171" s="5"/>
    </row>
    <row r="172" spans="1:256" ht="15.6" x14ac:dyDescent="0.3">
      <c r="A172" s="2"/>
      <c r="B172" s="4"/>
      <c r="C172" s="4"/>
      <c r="D172" s="4"/>
      <c r="E172" s="4"/>
      <c r="F172" s="4"/>
      <c r="G172" s="4"/>
      <c r="H172" s="4"/>
      <c r="I172" s="4"/>
      <c r="J172" s="4"/>
      <c r="K172" s="4"/>
      <c r="L172" s="4"/>
      <c r="M172" s="4"/>
      <c r="N172" s="49"/>
      <c r="O172" s="4"/>
      <c r="P172" s="5"/>
    </row>
    <row r="173" spans="1:256" ht="15.6" x14ac:dyDescent="0.3">
      <c r="A173" s="6"/>
      <c r="B173" s="114" t="s">
        <v>61</v>
      </c>
      <c r="C173" s="8"/>
      <c r="D173" s="8"/>
      <c r="E173" s="8"/>
      <c r="F173" s="8"/>
      <c r="G173" s="8"/>
      <c r="H173" s="8"/>
      <c r="I173" s="8"/>
      <c r="J173" s="8"/>
      <c r="K173" s="8"/>
      <c r="L173" s="8"/>
      <c r="M173" s="8"/>
      <c r="N173" s="63"/>
      <c r="O173" s="8"/>
      <c r="P173" s="5"/>
    </row>
    <row r="174" spans="1:256" ht="15.6" x14ac:dyDescent="0.3">
      <c r="A174" s="24"/>
      <c r="B174" s="25" t="s">
        <v>62</v>
      </c>
      <c r="C174" s="25"/>
      <c r="D174" s="25"/>
      <c r="E174" s="25"/>
      <c r="F174" s="25"/>
      <c r="G174" s="25"/>
      <c r="H174" s="25"/>
      <c r="I174" s="25"/>
      <c r="J174" s="25"/>
      <c r="K174" s="25"/>
      <c r="L174" s="25"/>
      <c r="M174" s="25"/>
      <c r="N174" s="57">
        <f>(N88+N90+N91+N92+N93)/-N94</f>
        <v>8.7345971563981042</v>
      </c>
      <c r="O174" s="25" t="s">
        <v>115</v>
      </c>
      <c r="P174" s="5"/>
    </row>
    <row r="175" spans="1:256" ht="15.6" x14ac:dyDescent="0.3">
      <c r="A175" s="24"/>
      <c r="B175" s="25" t="s">
        <v>63</v>
      </c>
      <c r="C175" s="25"/>
      <c r="D175" s="25"/>
      <c r="E175" s="25"/>
      <c r="F175" s="25"/>
      <c r="G175" s="25"/>
      <c r="H175" s="25"/>
      <c r="I175" s="25"/>
      <c r="J175" s="25"/>
      <c r="K175" s="25"/>
      <c r="L175" s="25"/>
      <c r="M175" s="25"/>
      <c r="N175" s="64">
        <v>1.64</v>
      </c>
      <c r="O175" s="25" t="s">
        <v>115</v>
      </c>
      <c r="P175" s="5"/>
    </row>
    <row r="176" spans="1:256" ht="15.6" x14ac:dyDescent="0.3">
      <c r="A176" s="24"/>
      <c r="B176" s="25" t="s">
        <v>64</v>
      </c>
      <c r="C176" s="25"/>
      <c r="D176" s="25"/>
      <c r="E176" s="25"/>
      <c r="F176" s="25"/>
      <c r="G176" s="25"/>
      <c r="H176" s="25"/>
      <c r="I176" s="25"/>
      <c r="J176" s="25"/>
      <c r="K176" s="25"/>
      <c r="L176" s="25"/>
      <c r="M176" s="25"/>
      <c r="N176" s="57">
        <f>(N88+N90+N91+N92+N93+N94)/-N96</f>
        <v>233.14285714285714</v>
      </c>
      <c r="O176" s="25" t="s">
        <v>115</v>
      </c>
      <c r="P176" s="5"/>
    </row>
    <row r="177" spans="1:16" ht="15.6" x14ac:dyDescent="0.3">
      <c r="A177" s="24"/>
      <c r="B177" s="25" t="s">
        <v>65</v>
      </c>
      <c r="C177" s="25"/>
      <c r="D177" s="25"/>
      <c r="E177" s="25"/>
      <c r="F177" s="25"/>
      <c r="G177" s="25"/>
      <c r="H177" s="25"/>
      <c r="I177" s="25"/>
      <c r="J177" s="25"/>
      <c r="K177" s="25"/>
      <c r="L177" s="25"/>
      <c r="M177" s="25"/>
      <c r="N177" s="64">
        <v>29.99</v>
      </c>
      <c r="O177" s="25" t="s">
        <v>115</v>
      </c>
      <c r="P177" s="5"/>
    </row>
    <row r="178" spans="1:16" ht="15.6" x14ac:dyDescent="0.3">
      <c r="A178" s="24"/>
      <c r="B178" s="25" t="s">
        <v>166</v>
      </c>
      <c r="C178" s="25"/>
      <c r="D178" s="25"/>
      <c r="E178" s="25"/>
      <c r="F178" s="25"/>
      <c r="G178" s="25"/>
      <c r="H178" s="25"/>
      <c r="I178" s="25"/>
      <c r="J178" s="25"/>
      <c r="K178" s="25"/>
      <c r="L178" s="25"/>
      <c r="M178" s="25"/>
      <c r="N178" s="57">
        <f>(N88+N90+N91+N92+N93+N94+N96)/-N97</f>
        <v>203.125</v>
      </c>
      <c r="O178" s="25" t="s">
        <v>115</v>
      </c>
      <c r="P178" s="5"/>
    </row>
    <row r="179" spans="1:16" ht="15.6" x14ac:dyDescent="0.3">
      <c r="A179" s="24"/>
      <c r="B179" s="25" t="s">
        <v>167</v>
      </c>
      <c r="C179" s="25"/>
      <c r="D179" s="25"/>
      <c r="E179" s="25"/>
      <c r="F179" s="25"/>
      <c r="G179" s="25"/>
      <c r="H179" s="25"/>
      <c r="I179" s="25"/>
      <c r="J179" s="25"/>
      <c r="K179" s="25"/>
      <c r="L179" s="25"/>
      <c r="M179" s="25"/>
      <c r="N179" s="64">
        <v>28.28</v>
      </c>
      <c r="O179" s="25" t="s">
        <v>115</v>
      </c>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24"/>
      <c r="B181" s="25"/>
      <c r="C181" s="25"/>
      <c r="D181" s="25"/>
      <c r="E181" s="25"/>
      <c r="F181" s="25"/>
      <c r="G181" s="25"/>
      <c r="H181" s="25"/>
      <c r="I181" s="25"/>
      <c r="J181" s="25"/>
      <c r="K181" s="25"/>
      <c r="L181" s="25"/>
      <c r="M181" s="25"/>
      <c r="N181" s="25"/>
      <c r="O181" s="25"/>
      <c r="P181" s="5"/>
    </row>
    <row r="182" spans="1:16" ht="15.6" x14ac:dyDescent="0.3">
      <c r="A182" s="6"/>
      <c r="B182" s="8"/>
      <c r="C182" s="8"/>
      <c r="D182" s="8"/>
      <c r="E182" s="8"/>
      <c r="F182" s="8"/>
      <c r="G182" s="8"/>
      <c r="H182" s="8"/>
      <c r="I182" s="8"/>
      <c r="J182" s="8"/>
      <c r="K182" s="8"/>
      <c r="L182" s="8"/>
      <c r="M182" s="8"/>
      <c r="N182" s="8"/>
      <c r="O182" s="8"/>
      <c r="P182" s="5"/>
    </row>
    <row r="183" spans="1:16" ht="18" thickBot="1" x14ac:dyDescent="0.35">
      <c r="A183" s="96"/>
      <c r="B183" s="97" t="str">
        <f>B116</f>
        <v>FF7 INVESTOR REPORT QUARTER ENDING FEBRUARY 2010</v>
      </c>
      <c r="C183" s="177"/>
      <c r="D183" s="177"/>
      <c r="E183" s="177"/>
      <c r="F183" s="177"/>
      <c r="G183" s="177"/>
      <c r="H183" s="177"/>
      <c r="I183" s="177"/>
      <c r="J183" s="177"/>
      <c r="K183" s="177"/>
      <c r="L183" s="177"/>
      <c r="M183" s="177"/>
      <c r="N183" s="177"/>
      <c r="O183" s="178"/>
      <c r="P183" s="5"/>
    </row>
    <row r="184" spans="1:16" ht="15.6" x14ac:dyDescent="0.3">
      <c r="A184" s="65"/>
      <c r="B184" s="58" t="s">
        <v>66</v>
      </c>
      <c r="C184" s="66"/>
      <c r="D184" s="67"/>
      <c r="E184" s="67"/>
      <c r="F184" s="67"/>
      <c r="G184" s="67"/>
      <c r="H184" s="67"/>
      <c r="I184" s="67"/>
      <c r="J184" s="67"/>
      <c r="K184" s="67"/>
      <c r="L184" s="68">
        <v>40235</v>
      </c>
      <c r="M184" s="4"/>
      <c r="N184" s="4"/>
      <c r="O184" s="4"/>
      <c r="P184" s="5"/>
    </row>
    <row r="185" spans="1:16" ht="15.6" x14ac:dyDescent="0.3">
      <c r="A185" s="69"/>
      <c r="B185" s="70"/>
      <c r="C185" s="71"/>
      <c r="D185" s="72"/>
      <c r="E185" s="72"/>
      <c r="F185" s="72"/>
      <c r="G185" s="72"/>
      <c r="H185" s="72"/>
      <c r="I185" s="72"/>
      <c r="J185" s="72"/>
      <c r="K185" s="72"/>
      <c r="L185" s="72"/>
      <c r="M185" s="8"/>
      <c r="N185" s="8"/>
      <c r="O185" s="8"/>
      <c r="P185" s="5"/>
    </row>
    <row r="186" spans="1:16" ht="15.6" x14ac:dyDescent="0.3">
      <c r="A186" s="73"/>
      <c r="B186" s="74" t="s">
        <v>67</v>
      </c>
      <c r="C186" s="75"/>
      <c r="D186" s="62"/>
      <c r="E186" s="62"/>
      <c r="F186" s="62"/>
      <c r="G186" s="62"/>
      <c r="H186" s="62"/>
      <c r="I186" s="62"/>
      <c r="J186" s="62"/>
      <c r="K186" s="62"/>
      <c r="L186" s="76">
        <v>7.2950000000000001E-2</v>
      </c>
      <c r="M186" s="25"/>
      <c r="N186" s="25"/>
      <c r="O186" s="25"/>
      <c r="P186" s="5"/>
    </row>
    <row r="187" spans="1:16" ht="15.6" x14ac:dyDescent="0.3">
      <c r="A187" s="73"/>
      <c r="B187" s="74" t="s">
        <v>213</v>
      </c>
      <c r="C187" s="75"/>
      <c r="D187" s="62"/>
      <c r="E187" s="62"/>
      <c r="F187" s="62"/>
      <c r="G187" s="62"/>
      <c r="H187" s="62"/>
      <c r="I187" s="62"/>
      <c r="J187" s="62"/>
      <c r="K187" s="62"/>
      <c r="L187" s="39">
        <v>5.79E-2</v>
      </c>
      <c r="M187" s="25"/>
      <c r="N187" s="25"/>
      <c r="O187" s="25"/>
      <c r="P187" s="5"/>
    </row>
    <row r="188" spans="1:16" ht="15.6" x14ac:dyDescent="0.3">
      <c r="A188" s="73"/>
      <c r="B188" s="74" t="s">
        <v>68</v>
      </c>
      <c r="C188" s="75"/>
      <c r="D188" s="62"/>
      <c r="E188" s="62"/>
      <c r="F188" s="62"/>
      <c r="G188" s="62"/>
      <c r="H188" s="62"/>
      <c r="I188" s="62"/>
      <c r="J188" s="62"/>
      <c r="K188" s="62"/>
      <c r="L188" s="76">
        <f>L186-L187</f>
        <v>1.5050000000000001E-2</v>
      </c>
      <c r="M188" s="25"/>
      <c r="N188" s="25"/>
      <c r="O188" s="25"/>
      <c r="P188" s="5"/>
    </row>
    <row r="189" spans="1:16" ht="15.6" x14ac:dyDescent="0.3">
      <c r="A189" s="73"/>
      <c r="B189" s="74" t="s">
        <v>69</v>
      </c>
      <c r="C189" s="75"/>
      <c r="D189" s="62"/>
      <c r="E189" s="62"/>
      <c r="F189" s="62"/>
      <c r="G189" s="62"/>
      <c r="H189" s="62"/>
      <c r="I189" s="62"/>
      <c r="J189" s="62"/>
      <c r="K189" s="62"/>
      <c r="L189" s="76">
        <v>5.3510000000000002E-2</v>
      </c>
      <c r="M189" s="25"/>
      <c r="N189" s="25"/>
      <c r="O189" s="25"/>
      <c r="P189" s="5"/>
    </row>
    <row r="190" spans="1:16" ht="15.6" x14ac:dyDescent="0.3">
      <c r="A190" s="73"/>
      <c r="B190" s="74" t="s">
        <v>212</v>
      </c>
      <c r="C190" s="75"/>
      <c r="D190" s="62"/>
      <c r="E190" s="62"/>
      <c r="F190" s="62"/>
      <c r="G190" s="62"/>
      <c r="H190" s="62"/>
      <c r="I190" s="62"/>
      <c r="J190" s="62"/>
      <c r="K190" s="62"/>
      <c r="L190" s="76">
        <f>N34</f>
        <v>7.3222989934239487E-3</v>
      </c>
      <c r="M190" s="25"/>
      <c r="N190" s="25"/>
      <c r="O190" s="25"/>
      <c r="P190" s="5"/>
    </row>
    <row r="191" spans="1:16" ht="15.6" x14ac:dyDescent="0.3">
      <c r="A191" s="73"/>
      <c r="B191" s="74" t="s">
        <v>70</v>
      </c>
      <c r="C191" s="75"/>
      <c r="D191" s="62"/>
      <c r="E191" s="62"/>
      <c r="F191" s="62"/>
      <c r="G191" s="62"/>
      <c r="H191" s="62"/>
      <c r="I191" s="62"/>
      <c r="J191" s="62"/>
      <c r="K191" s="62"/>
      <c r="L191" s="76">
        <f>L189-L190</f>
        <v>4.6187701006576057E-2</v>
      </c>
      <c r="M191" s="25"/>
      <c r="N191" s="25"/>
      <c r="O191" s="25"/>
      <c r="P191" s="5"/>
    </row>
    <row r="192" spans="1:16" ht="15.6" x14ac:dyDescent="0.3">
      <c r="A192" s="73"/>
      <c r="B192" s="74" t="s">
        <v>203</v>
      </c>
      <c r="C192" s="75"/>
      <c r="D192" s="62"/>
      <c r="E192" s="62"/>
      <c r="F192" s="62"/>
      <c r="G192" s="62"/>
      <c r="H192" s="62"/>
      <c r="I192" s="62"/>
      <c r="J192" s="62"/>
      <c r="K192" s="62"/>
      <c r="L192" s="76">
        <f>+N88/F60</f>
        <v>1.5093469828956572E-2</v>
      </c>
      <c r="M192" s="25"/>
      <c r="N192" s="25"/>
      <c r="O192" s="25"/>
      <c r="P192" s="5"/>
    </row>
    <row r="193" spans="1:16" ht="15.6" x14ac:dyDescent="0.3">
      <c r="A193" s="73"/>
      <c r="B193" s="74" t="s">
        <v>171</v>
      </c>
      <c r="C193" s="75"/>
      <c r="D193" s="62"/>
      <c r="E193" s="62"/>
      <c r="F193" s="62"/>
      <c r="G193" s="62"/>
      <c r="H193" s="62"/>
      <c r="I193" s="62"/>
      <c r="J193" s="62"/>
      <c r="K193" s="62"/>
      <c r="L193" s="122">
        <v>48823</v>
      </c>
      <c r="M193" s="25"/>
      <c r="N193" s="25"/>
      <c r="O193" s="25"/>
      <c r="P193" s="5"/>
    </row>
    <row r="194" spans="1:16" ht="15.6" x14ac:dyDescent="0.3">
      <c r="A194" s="73"/>
      <c r="B194" s="74" t="s">
        <v>172</v>
      </c>
      <c r="C194" s="75"/>
      <c r="D194" s="62"/>
      <c r="E194" s="62"/>
      <c r="F194" s="62"/>
      <c r="G194" s="62"/>
      <c r="H194" s="62"/>
      <c r="I194" s="62"/>
      <c r="J194" s="62"/>
      <c r="K194" s="62"/>
      <c r="L194" s="122">
        <v>48823</v>
      </c>
      <c r="M194" s="25"/>
      <c r="N194" s="25"/>
      <c r="O194" s="25"/>
      <c r="P194" s="5"/>
    </row>
    <row r="195" spans="1:16" ht="15.6" x14ac:dyDescent="0.3">
      <c r="A195" s="73"/>
      <c r="B195" s="74" t="s">
        <v>173</v>
      </c>
      <c r="C195" s="75"/>
      <c r="D195" s="62"/>
      <c r="E195" s="62"/>
      <c r="F195" s="62"/>
      <c r="G195" s="62"/>
      <c r="H195" s="62"/>
      <c r="I195" s="62"/>
      <c r="J195" s="62"/>
      <c r="K195" s="62"/>
      <c r="L195" s="122">
        <v>48823</v>
      </c>
      <c r="M195" s="25"/>
      <c r="N195" s="25"/>
      <c r="O195" s="25"/>
      <c r="P195" s="5"/>
    </row>
    <row r="196" spans="1:16" ht="15.6" x14ac:dyDescent="0.3">
      <c r="A196" s="73"/>
      <c r="B196" s="74" t="s">
        <v>71</v>
      </c>
      <c r="C196" s="75"/>
      <c r="D196" s="62"/>
      <c r="E196" s="62"/>
      <c r="F196" s="62"/>
      <c r="G196" s="62"/>
      <c r="H196" s="62"/>
      <c r="I196" s="62"/>
      <c r="J196" s="62"/>
      <c r="K196" s="62"/>
      <c r="L196" s="126">
        <v>9.93</v>
      </c>
      <c r="M196" s="25" t="s">
        <v>110</v>
      </c>
      <c r="N196" s="25"/>
      <c r="O196" s="25"/>
      <c r="P196" s="5"/>
    </row>
    <row r="197" spans="1:16" ht="15.6" x14ac:dyDescent="0.3">
      <c r="A197" s="73"/>
      <c r="B197" s="74" t="s">
        <v>72</v>
      </c>
      <c r="C197" s="75"/>
      <c r="D197" s="62"/>
      <c r="E197" s="62"/>
      <c r="F197" s="62"/>
      <c r="G197" s="62"/>
      <c r="H197" s="62"/>
      <c r="I197" s="62"/>
      <c r="J197" s="62"/>
      <c r="K197" s="62"/>
      <c r="L197" s="126">
        <v>6.65</v>
      </c>
      <c r="M197" s="25" t="s">
        <v>110</v>
      </c>
      <c r="N197" s="25"/>
      <c r="O197" s="25"/>
      <c r="P197" s="5"/>
    </row>
    <row r="198" spans="1:16" ht="15.6" x14ac:dyDescent="0.3">
      <c r="A198" s="73"/>
      <c r="B198" s="74" t="s">
        <v>73</v>
      </c>
      <c r="C198" s="75"/>
      <c r="D198" s="62"/>
      <c r="E198" s="62"/>
      <c r="F198" s="62"/>
      <c r="G198" s="62"/>
      <c r="H198" s="62"/>
      <c r="I198" s="62"/>
      <c r="J198" s="62"/>
      <c r="K198" s="62"/>
      <c r="L198" s="76">
        <f>+H57/F57</f>
        <v>5.0249371583609308E-2</v>
      </c>
      <c r="M198" s="25"/>
      <c r="N198" s="25"/>
      <c r="O198" s="25"/>
      <c r="P198" s="5"/>
    </row>
    <row r="199" spans="1:16" ht="15.6" x14ac:dyDescent="0.3">
      <c r="A199" s="73"/>
      <c r="B199" s="74" t="s">
        <v>74</v>
      </c>
      <c r="C199" s="75"/>
      <c r="D199" s="62"/>
      <c r="E199" s="62"/>
      <c r="F199" s="62"/>
      <c r="G199" s="62"/>
      <c r="H199" s="62"/>
      <c r="I199" s="62"/>
      <c r="J199" s="62"/>
      <c r="K199" s="62"/>
      <c r="L199" s="76">
        <v>0.28489999999999999</v>
      </c>
      <c r="M199" s="25"/>
      <c r="N199" s="25"/>
      <c r="O199" s="25"/>
      <c r="P199" s="5"/>
    </row>
    <row r="200" spans="1:16" ht="15.6" x14ac:dyDescent="0.3">
      <c r="A200" s="73"/>
      <c r="B200" s="74"/>
      <c r="C200" s="74"/>
      <c r="D200" s="25"/>
      <c r="E200" s="25"/>
      <c r="F200" s="25"/>
      <c r="G200" s="25"/>
      <c r="H200" s="25"/>
      <c r="I200" s="25"/>
      <c r="J200" s="25"/>
      <c r="K200" s="25"/>
      <c r="L200" s="59"/>
      <c r="M200" s="25"/>
      <c r="N200" s="77"/>
      <c r="O200" s="25"/>
      <c r="P200" s="5"/>
    </row>
    <row r="201" spans="1:16" ht="15.6" x14ac:dyDescent="0.3">
      <c r="A201" s="78"/>
      <c r="B201" s="14" t="s">
        <v>75</v>
      </c>
      <c r="C201" s="79"/>
      <c r="D201" s="17"/>
      <c r="E201" s="17"/>
      <c r="F201" s="17"/>
      <c r="G201" s="17"/>
      <c r="H201" s="17"/>
      <c r="I201" s="17"/>
      <c r="J201" s="17"/>
      <c r="K201" s="17" t="s">
        <v>99</v>
      </c>
      <c r="L201" s="80" t="s">
        <v>106</v>
      </c>
      <c r="M201" s="8"/>
      <c r="N201" s="8"/>
      <c r="O201" s="8"/>
      <c r="P201" s="5"/>
    </row>
    <row r="202" spans="1:16" ht="15.6" x14ac:dyDescent="0.3">
      <c r="A202" s="81"/>
      <c r="B202" s="74" t="s">
        <v>76</v>
      </c>
      <c r="C202" s="53"/>
      <c r="D202" s="30"/>
      <c r="E202" s="30"/>
      <c r="F202" s="30"/>
      <c r="G202" s="30"/>
      <c r="H202" s="30"/>
      <c r="I202" s="30"/>
      <c r="J202" s="30"/>
      <c r="K202" s="30">
        <v>6</v>
      </c>
      <c r="L202" s="82">
        <v>223</v>
      </c>
      <c r="M202" s="25"/>
      <c r="N202" s="77"/>
      <c r="O202" s="83"/>
      <c r="P202" s="5"/>
    </row>
    <row r="203" spans="1:16" ht="15.6" x14ac:dyDescent="0.3">
      <c r="A203" s="81"/>
      <c r="B203" s="74" t="s">
        <v>136</v>
      </c>
      <c r="C203" s="53"/>
      <c r="D203" s="30"/>
      <c r="E203" s="30"/>
      <c r="F203" s="30"/>
      <c r="G203" s="30"/>
      <c r="H203" s="30"/>
      <c r="I203" s="30"/>
      <c r="J203" s="30"/>
      <c r="K203" s="142">
        <f>+J253</f>
        <v>1</v>
      </c>
      <c r="L203" s="82">
        <f>+L253</f>
        <v>108</v>
      </c>
      <c r="M203" s="25"/>
      <c r="N203" s="77"/>
      <c r="O203" s="83"/>
      <c r="P203" s="5"/>
    </row>
    <row r="204" spans="1:16" ht="15.6" x14ac:dyDescent="0.3">
      <c r="A204" s="81"/>
      <c r="B204" s="74" t="s">
        <v>77</v>
      </c>
      <c r="C204" s="53"/>
      <c r="D204" s="30"/>
      <c r="E204" s="30"/>
      <c r="F204" s="30"/>
      <c r="G204" s="30"/>
      <c r="H204" s="30"/>
      <c r="I204" s="30"/>
      <c r="J204" s="30"/>
      <c r="K204" s="142">
        <f>+J270</f>
        <v>4</v>
      </c>
      <c r="L204" s="82">
        <f>+L270</f>
        <v>178</v>
      </c>
      <c r="M204" s="25"/>
      <c r="N204" s="77"/>
      <c r="O204" s="83"/>
      <c r="P204" s="5"/>
    </row>
    <row r="205" spans="1:16" ht="15.6" x14ac:dyDescent="0.3">
      <c r="A205" s="81"/>
      <c r="B205" s="117" t="s">
        <v>78</v>
      </c>
      <c r="C205" s="53"/>
      <c r="D205" s="25"/>
      <c r="E205" s="25"/>
      <c r="F205" s="25"/>
      <c r="G205" s="25"/>
      <c r="H205" s="25"/>
      <c r="I205" s="25"/>
      <c r="J205" s="25"/>
      <c r="K205" s="25"/>
      <c r="L205" s="82">
        <v>0</v>
      </c>
      <c r="M205" s="25"/>
      <c r="N205" s="77"/>
      <c r="O205" s="83"/>
      <c r="P205" s="5"/>
    </row>
    <row r="206" spans="1:16" ht="15.6" x14ac:dyDescent="0.3">
      <c r="A206" s="81"/>
      <c r="B206" s="117" t="s">
        <v>79</v>
      </c>
      <c r="C206" s="53"/>
      <c r="D206" s="25"/>
      <c r="E206" s="25"/>
      <c r="F206" s="25"/>
      <c r="G206" s="25"/>
      <c r="H206" s="25"/>
      <c r="I206" s="25"/>
      <c r="J206" s="25"/>
      <c r="K206" s="25"/>
      <c r="L206" s="60" t="s">
        <v>107</v>
      </c>
      <c r="M206" s="25"/>
      <c r="N206" s="77"/>
      <c r="O206" s="83"/>
      <c r="P206" s="5"/>
    </row>
    <row r="207" spans="1:16" ht="15.6" x14ac:dyDescent="0.3">
      <c r="A207" s="84"/>
      <c r="B207" s="117" t="s">
        <v>80</v>
      </c>
      <c r="C207" s="74"/>
      <c r="D207" s="25"/>
      <c r="E207" s="25"/>
      <c r="F207" s="25"/>
      <c r="G207" s="25"/>
      <c r="H207" s="25"/>
      <c r="I207" s="25"/>
      <c r="J207" s="25"/>
      <c r="K207" s="25"/>
      <c r="L207" s="82"/>
      <c r="M207" s="25"/>
      <c r="N207" s="77"/>
      <c r="O207" s="85"/>
      <c r="P207" s="5"/>
    </row>
    <row r="208" spans="1:16" ht="15.6" x14ac:dyDescent="0.3">
      <c r="A208" s="84"/>
      <c r="B208" s="124" t="s">
        <v>81</v>
      </c>
      <c r="C208" s="74"/>
      <c r="D208" s="25"/>
      <c r="E208" s="25"/>
      <c r="F208" s="25"/>
      <c r="G208" s="25"/>
      <c r="H208" s="25"/>
      <c r="I208" s="25"/>
      <c r="J208" s="25"/>
      <c r="K208" s="30"/>
      <c r="L208" s="82">
        <f>N145</f>
        <v>0</v>
      </c>
      <c r="M208" s="25"/>
      <c r="N208" s="77"/>
      <c r="O208" s="85"/>
      <c r="P208" s="5"/>
    </row>
    <row r="209" spans="1:17" ht="15.6" x14ac:dyDescent="0.3">
      <c r="A209" s="81"/>
      <c r="B209" s="74" t="s">
        <v>82</v>
      </c>
      <c r="C209" s="53"/>
      <c r="D209" s="25"/>
      <c r="E209" s="25"/>
      <c r="F209" s="25"/>
      <c r="G209" s="25"/>
      <c r="H209" s="25"/>
      <c r="I209" s="25"/>
      <c r="J209" s="25"/>
      <c r="K209" s="30"/>
      <c r="L209" s="82">
        <f>'Nov 09'!L209+L208</f>
        <v>54</v>
      </c>
      <c r="M209" s="25"/>
      <c r="N209" s="77"/>
      <c r="O209" s="85"/>
      <c r="P209" s="5"/>
    </row>
    <row r="210" spans="1:17" ht="15.6" x14ac:dyDescent="0.3">
      <c r="A210" s="84"/>
      <c r="B210" s="117" t="s">
        <v>253</v>
      </c>
      <c r="C210" s="74"/>
      <c r="D210" s="25"/>
      <c r="E210" s="25"/>
      <c r="F210" s="25"/>
      <c r="G210" s="25"/>
      <c r="H210" s="25"/>
      <c r="I210" s="25"/>
      <c r="J210" s="25"/>
      <c r="K210" s="30"/>
      <c r="L210" s="82"/>
      <c r="M210" s="25"/>
      <c r="N210" s="77"/>
      <c r="O210" s="85"/>
      <c r="P210" s="5"/>
    </row>
    <row r="211" spans="1:17" ht="15.6" x14ac:dyDescent="0.3">
      <c r="A211" s="84"/>
      <c r="B211" s="74" t="s">
        <v>250</v>
      </c>
      <c r="C211" s="74"/>
      <c r="D211" s="25"/>
      <c r="E211" s="25"/>
      <c r="F211" s="25"/>
      <c r="G211" s="25"/>
      <c r="H211" s="25"/>
      <c r="I211" s="25"/>
      <c r="J211" s="25"/>
      <c r="K211" s="30">
        <v>2</v>
      </c>
      <c r="L211" s="82">
        <v>38</v>
      </c>
      <c r="M211" s="25"/>
      <c r="N211" s="77"/>
      <c r="O211" s="85"/>
      <c r="P211" s="5"/>
    </row>
    <row r="212" spans="1:17" ht="15.6" x14ac:dyDescent="0.3">
      <c r="A212" s="81"/>
      <c r="B212" s="74" t="s">
        <v>83</v>
      </c>
      <c r="C212" s="86"/>
      <c r="D212" s="25"/>
      <c r="E212" s="25"/>
      <c r="F212" s="25"/>
      <c r="G212" s="25"/>
      <c r="H212" s="25"/>
      <c r="I212" s="25"/>
      <c r="J212" s="25"/>
      <c r="K212" s="25"/>
      <c r="L212" s="60">
        <v>5.86</v>
      </c>
      <c r="M212" s="25"/>
      <c r="N212" s="77"/>
      <c r="O212" s="85"/>
      <c r="P212" s="5"/>
    </row>
    <row r="213" spans="1:17" ht="15.6" x14ac:dyDescent="0.3">
      <c r="A213" s="81"/>
      <c r="B213" s="74" t="s">
        <v>84</v>
      </c>
      <c r="C213" s="86"/>
      <c r="D213" s="25"/>
      <c r="E213" s="25"/>
      <c r="F213" s="25"/>
      <c r="G213" s="25"/>
      <c r="H213" s="25"/>
      <c r="I213" s="25"/>
      <c r="J213" s="25"/>
      <c r="K213" s="25"/>
      <c r="L213" s="60">
        <v>4.6500000000000004</v>
      </c>
      <c r="M213" s="25"/>
      <c r="N213" s="77"/>
      <c r="O213" s="85"/>
      <c r="P213" s="5"/>
    </row>
    <row r="214" spans="1:17" ht="15.6" x14ac:dyDescent="0.3">
      <c r="A214" s="81"/>
      <c r="B214" s="117" t="s">
        <v>177</v>
      </c>
      <c r="C214" s="86"/>
      <c r="D214" s="25"/>
      <c r="E214" s="25"/>
      <c r="F214" s="25"/>
      <c r="G214" s="25"/>
      <c r="H214" s="25"/>
      <c r="I214" s="25"/>
      <c r="J214" s="25"/>
      <c r="K214" s="25"/>
      <c r="L214" s="87"/>
      <c r="M214" s="25"/>
      <c r="N214" s="77"/>
      <c r="O214" s="85"/>
      <c r="P214" s="5"/>
    </row>
    <row r="215" spans="1:17" ht="15.6" x14ac:dyDescent="0.3">
      <c r="A215" s="81"/>
      <c r="B215" s="74" t="s">
        <v>250</v>
      </c>
      <c r="C215" s="86"/>
      <c r="D215" s="25"/>
      <c r="E215" s="25"/>
      <c r="F215" s="25"/>
      <c r="G215" s="25"/>
      <c r="H215" s="25"/>
      <c r="I215" s="25"/>
      <c r="J215" s="25"/>
      <c r="K215" s="30">
        <v>0</v>
      </c>
      <c r="L215" s="82">
        <v>0</v>
      </c>
      <c r="M215" s="25"/>
      <c r="N215" s="77"/>
      <c r="O215" s="85"/>
      <c r="P215" s="5"/>
    </row>
    <row r="216" spans="1:17" ht="15.6" x14ac:dyDescent="0.3">
      <c r="A216" s="81"/>
      <c r="B216" s="74" t="s">
        <v>178</v>
      </c>
      <c r="C216" s="86"/>
      <c r="D216" s="25"/>
      <c r="E216" s="25"/>
      <c r="F216" s="25"/>
      <c r="G216" s="25"/>
      <c r="H216" s="25"/>
      <c r="I216" s="25"/>
      <c r="J216" s="25"/>
      <c r="K216" s="25"/>
      <c r="L216" s="60">
        <v>0</v>
      </c>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5.6" x14ac:dyDescent="0.3">
      <c r="A218" s="81"/>
      <c r="B218" s="74"/>
      <c r="C218" s="86"/>
      <c r="D218" s="25"/>
      <c r="E218" s="25"/>
      <c r="F218" s="25"/>
      <c r="G218" s="25"/>
      <c r="H218" s="25"/>
      <c r="I218" s="25"/>
      <c r="J218" s="25"/>
      <c r="K218" s="25"/>
      <c r="L218" s="87"/>
      <c r="M218" s="25"/>
      <c r="N218" s="77"/>
      <c r="O218" s="85"/>
      <c r="P218" s="5"/>
    </row>
    <row r="219" spans="1:17" ht="17.399999999999999" x14ac:dyDescent="0.3">
      <c r="A219" s="81"/>
      <c r="B219" s="140" t="s">
        <v>238</v>
      </c>
      <c r="C219" s="86"/>
      <c r="D219" s="25"/>
      <c r="E219" s="25"/>
      <c r="F219" s="25"/>
      <c r="G219" s="25"/>
      <c r="H219" s="180" t="s">
        <v>237</v>
      </c>
      <c r="I219" s="25"/>
      <c r="J219" s="25"/>
      <c r="K219" s="25"/>
      <c r="L219" s="87"/>
      <c r="M219" s="25"/>
      <c r="N219" s="77"/>
      <c r="O219" s="85"/>
      <c r="P219" s="5"/>
    </row>
    <row r="220" spans="1:17" ht="15.6" x14ac:dyDescent="0.3">
      <c r="A220" s="81"/>
      <c r="B220" s="74"/>
      <c r="C220" s="86"/>
      <c r="D220" s="25"/>
      <c r="E220" s="25"/>
      <c r="F220" s="25"/>
      <c r="G220" s="25"/>
      <c r="H220" s="25"/>
      <c r="I220" s="25"/>
      <c r="J220" s="25"/>
      <c r="K220" s="25"/>
      <c r="L220" s="87"/>
      <c r="M220" s="25"/>
      <c r="N220" s="77"/>
      <c r="O220" s="85"/>
      <c r="P220" s="5"/>
    </row>
    <row r="221" spans="1:17" ht="15.6" x14ac:dyDescent="0.3">
      <c r="A221" s="6"/>
      <c r="B221" s="14" t="s">
        <v>149</v>
      </c>
      <c r="C221" s="79"/>
      <c r="D221" s="17"/>
      <c r="E221" s="17"/>
      <c r="F221" s="17"/>
      <c r="G221" s="17"/>
      <c r="H221" s="17"/>
      <c r="I221" s="17"/>
      <c r="J221" s="80" t="s">
        <v>99</v>
      </c>
      <c r="K221" s="17" t="s">
        <v>100</v>
      </c>
      <c r="L221" s="80" t="s">
        <v>108</v>
      </c>
      <c r="M221" s="17" t="s">
        <v>100</v>
      </c>
      <c r="N221" s="8"/>
      <c r="O221" s="88"/>
      <c r="P221" s="5"/>
    </row>
    <row r="222" spans="1:17" ht="15.6" x14ac:dyDescent="0.3">
      <c r="A222" s="24"/>
      <c r="B222" s="53" t="s">
        <v>85</v>
      </c>
      <c r="C222" s="89"/>
      <c r="D222" s="89"/>
      <c r="E222" s="89"/>
      <c r="F222" s="89"/>
      <c r="G222" s="89"/>
      <c r="H222" s="89"/>
      <c r="I222" s="89"/>
      <c r="J222" s="53">
        <v>2787</v>
      </c>
      <c r="K222" s="90">
        <f t="shared" ref="K222:K234" si="1">J222/$J$236</f>
        <v>0.93933265925176945</v>
      </c>
      <c r="L222" s="52">
        <v>110356</v>
      </c>
      <c r="M222" s="125">
        <f t="shared" ref="M222:M234" si="2">L222/$L$236</f>
        <v>0.91237991302478627</v>
      </c>
      <c r="N222" s="77"/>
      <c r="O222" s="85"/>
      <c r="P222" s="5"/>
    </row>
    <row r="223" spans="1:17" ht="15.6" x14ac:dyDescent="0.3">
      <c r="A223" s="24"/>
      <c r="B223" s="53" t="s">
        <v>86</v>
      </c>
      <c r="C223" s="89"/>
      <c r="D223" s="89"/>
      <c r="E223" s="89"/>
      <c r="F223" s="89"/>
      <c r="G223" s="89"/>
      <c r="H223" s="89"/>
      <c r="I223" s="89"/>
      <c r="J223" s="53">
        <v>59</v>
      </c>
      <c r="K223" s="90">
        <f t="shared" si="1"/>
        <v>1.988540613414223E-2</v>
      </c>
      <c r="L223" s="52">
        <v>2891</v>
      </c>
      <c r="M223" s="125">
        <f t="shared" si="2"/>
        <v>2.390164856060982E-2</v>
      </c>
      <c r="N223" s="77"/>
      <c r="O223" s="85"/>
      <c r="P223" s="5"/>
      <c r="Q223" s="104"/>
    </row>
    <row r="224" spans="1:17" ht="15.6" x14ac:dyDescent="0.3">
      <c r="A224" s="24"/>
      <c r="B224" s="53" t="s">
        <v>87</v>
      </c>
      <c r="C224" s="89"/>
      <c r="D224" s="89"/>
      <c r="E224" s="89"/>
      <c r="F224" s="89"/>
      <c r="G224" s="89"/>
      <c r="H224" s="89"/>
      <c r="I224" s="89"/>
      <c r="J224" s="53">
        <v>36</v>
      </c>
      <c r="K224" s="90">
        <f t="shared" si="1"/>
        <v>1.2133468149646108E-2</v>
      </c>
      <c r="L224" s="52">
        <v>1721</v>
      </c>
      <c r="M224" s="125">
        <f t="shared" si="2"/>
        <v>1.4228549696578864E-2</v>
      </c>
      <c r="N224" s="77"/>
      <c r="O224" s="85"/>
      <c r="P224" s="5"/>
    </row>
    <row r="225" spans="1:17" ht="15.6" x14ac:dyDescent="0.3">
      <c r="A225" s="24"/>
      <c r="B225" s="53" t="s">
        <v>145</v>
      </c>
      <c r="C225" s="89"/>
      <c r="D225" s="89"/>
      <c r="E225" s="89"/>
      <c r="F225" s="89"/>
      <c r="G225" s="89"/>
      <c r="H225" s="89"/>
      <c r="I225" s="89"/>
      <c r="J225" s="53">
        <v>20</v>
      </c>
      <c r="K225" s="90">
        <f t="shared" si="1"/>
        <v>6.740815638692282E-3</v>
      </c>
      <c r="L225" s="52">
        <v>1001</v>
      </c>
      <c r="M225" s="125">
        <f t="shared" si="2"/>
        <v>8.2758734725598155E-3</v>
      </c>
      <c r="N225" s="77"/>
      <c r="O225" s="85"/>
      <c r="P225" s="5"/>
      <c r="Q225" s="104"/>
    </row>
    <row r="226" spans="1:17" ht="15.6" x14ac:dyDescent="0.3">
      <c r="A226" s="24"/>
      <c r="B226" s="53" t="s">
        <v>146</v>
      </c>
      <c r="C226" s="89"/>
      <c r="D226" s="89"/>
      <c r="E226" s="89"/>
      <c r="F226" s="89"/>
      <c r="G226" s="89"/>
      <c r="H226" s="89"/>
      <c r="I226" s="89"/>
      <c r="J226" s="53">
        <v>18</v>
      </c>
      <c r="K226" s="90">
        <f t="shared" si="1"/>
        <v>6.0667340748230538E-3</v>
      </c>
      <c r="L226" s="52">
        <v>1093</v>
      </c>
      <c r="M226" s="125">
        <f t="shared" si="2"/>
        <v>9.0364932122955835E-3</v>
      </c>
      <c r="N226" s="77"/>
      <c r="O226" s="85"/>
      <c r="P226" s="5"/>
    </row>
    <row r="227" spans="1:17" ht="15.6" x14ac:dyDescent="0.3">
      <c r="A227" s="24"/>
      <c r="B227" s="53" t="s">
        <v>147</v>
      </c>
      <c r="C227" s="89"/>
      <c r="D227" s="89"/>
      <c r="E227" s="89"/>
      <c r="F227" s="89"/>
      <c r="G227" s="89"/>
      <c r="H227" s="89"/>
      <c r="I227" s="89"/>
      <c r="J227" s="53">
        <v>5</v>
      </c>
      <c r="K227" s="90">
        <f t="shared" si="1"/>
        <v>1.6852039096730705E-3</v>
      </c>
      <c r="L227" s="52">
        <v>384</v>
      </c>
      <c r="M227" s="125">
        <f t="shared" si="2"/>
        <v>3.1747606528101592E-3</v>
      </c>
      <c r="N227" s="77"/>
      <c r="O227" s="85"/>
      <c r="P227" s="5"/>
      <c r="Q227" s="104"/>
    </row>
    <row r="228" spans="1:17" ht="15.6" x14ac:dyDescent="0.3">
      <c r="A228" s="24"/>
      <c r="B228" s="53" t="s">
        <v>227</v>
      </c>
      <c r="C228" s="89"/>
      <c r="D228" s="89"/>
      <c r="E228" s="89"/>
      <c r="F228" s="89"/>
      <c r="G228" s="89"/>
      <c r="H228" s="89"/>
      <c r="I228" s="89"/>
      <c r="J228" s="53">
        <v>19</v>
      </c>
      <c r="K228" s="90">
        <f t="shared" si="1"/>
        <v>6.4037748567576675E-3</v>
      </c>
      <c r="L228" s="52">
        <v>1090</v>
      </c>
      <c r="M228" s="125">
        <f t="shared" si="2"/>
        <v>9.0116903946955047E-3</v>
      </c>
      <c r="N228" s="77"/>
      <c r="O228" s="85"/>
      <c r="P228" s="5"/>
    </row>
    <row r="229" spans="1:17" ht="15.6" x14ac:dyDescent="0.3">
      <c r="A229" s="24"/>
      <c r="B229" s="53" t="s">
        <v>228</v>
      </c>
      <c r="C229" s="89"/>
      <c r="D229" s="89"/>
      <c r="E229" s="89"/>
      <c r="F229" s="89"/>
      <c r="G229" s="89"/>
      <c r="H229" s="89"/>
      <c r="I229" s="89"/>
      <c r="J229" s="53">
        <v>7</v>
      </c>
      <c r="K229" s="90">
        <f t="shared" si="1"/>
        <v>2.3592854735422987E-3</v>
      </c>
      <c r="L229" s="52">
        <v>412</v>
      </c>
      <c r="M229" s="125">
        <f t="shared" si="2"/>
        <v>3.4062536170775667E-3</v>
      </c>
      <c r="N229" s="77"/>
      <c r="O229" s="85"/>
      <c r="P229" s="5"/>
      <c r="Q229" s="104"/>
    </row>
    <row r="230" spans="1:17" ht="15.6" x14ac:dyDescent="0.3">
      <c r="A230" s="24"/>
      <c r="B230" s="53" t="s">
        <v>229</v>
      </c>
      <c r="C230" s="89"/>
      <c r="D230" s="89"/>
      <c r="E230" s="89"/>
      <c r="F230" s="89"/>
      <c r="G230" s="89"/>
      <c r="H230" s="89"/>
      <c r="I230" s="89"/>
      <c r="J230" s="53">
        <v>8</v>
      </c>
      <c r="K230" s="90">
        <f t="shared" si="1"/>
        <v>2.6963262554769128E-3</v>
      </c>
      <c r="L230" s="52">
        <v>523</v>
      </c>
      <c r="M230" s="125">
        <f t="shared" si="2"/>
        <v>4.3239578682805037E-3</v>
      </c>
      <c r="N230" s="77"/>
      <c r="O230" s="85"/>
      <c r="P230" s="5"/>
      <c r="Q230" s="104"/>
    </row>
    <row r="231" spans="1:17" ht="15.6" x14ac:dyDescent="0.3">
      <c r="A231" s="24"/>
      <c r="B231" s="53" t="s">
        <v>230</v>
      </c>
      <c r="C231" s="89"/>
      <c r="D231" s="89"/>
      <c r="E231" s="89"/>
      <c r="F231" s="89"/>
      <c r="G231" s="89"/>
      <c r="H231" s="89"/>
      <c r="I231" s="89"/>
      <c r="J231" s="53">
        <v>1</v>
      </c>
      <c r="K231" s="90">
        <f t="shared" si="1"/>
        <v>3.370407819346141E-4</v>
      </c>
      <c r="L231" s="52">
        <v>991</v>
      </c>
      <c r="M231" s="125">
        <f t="shared" si="2"/>
        <v>8.1931974138928845E-3</v>
      </c>
      <c r="N231" s="77"/>
      <c r="O231" s="85"/>
      <c r="P231" s="5"/>
      <c r="Q231" s="104"/>
    </row>
    <row r="232" spans="1:17" ht="15.6" x14ac:dyDescent="0.3">
      <c r="A232" s="24"/>
      <c r="B232" s="53" t="s">
        <v>231</v>
      </c>
      <c r="C232" s="89"/>
      <c r="D232" s="89"/>
      <c r="E232" s="89"/>
      <c r="F232" s="89"/>
      <c r="G232" s="89"/>
      <c r="H232" s="89"/>
      <c r="I232" s="89"/>
      <c r="J232" s="53">
        <v>3</v>
      </c>
      <c r="K232" s="90">
        <f t="shared" si="1"/>
        <v>1.0111223458038423E-3</v>
      </c>
      <c r="L232" s="52">
        <v>157</v>
      </c>
      <c r="M232" s="125">
        <f t="shared" si="2"/>
        <v>1.2980141210708204E-3</v>
      </c>
      <c r="N232" s="77"/>
      <c r="O232" s="85"/>
      <c r="P232" s="5"/>
      <c r="Q232" s="104"/>
    </row>
    <row r="233" spans="1:17" ht="15.6" x14ac:dyDescent="0.3">
      <c r="A233" s="24"/>
      <c r="B233" s="53" t="s">
        <v>232</v>
      </c>
      <c r="C233" s="89"/>
      <c r="D233" s="89"/>
      <c r="E233" s="89"/>
      <c r="F233" s="89"/>
      <c r="G233" s="89"/>
      <c r="H233" s="89"/>
      <c r="I233" s="89"/>
      <c r="J233" s="53">
        <v>2</v>
      </c>
      <c r="K233" s="90">
        <f t="shared" si="1"/>
        <v>6.740815638692282E-4</v>
      </c>
      <c r="L233" s="52">
        <v>147</v>
      </c>
      <c r="M233" s="125">
        <f t="shared" si="2"/>
        <v>1.2153380624038892E-3</v>
      </c>
      <c r="N233" s="77"/>
      <c r="O233" s="85"/>
      <c r="P233" s="5"/>
      <c r="Q233" s="104"/>
    </row>
    <row r="234" spans="1:17" ht="15.6" x14ac:dyDescent="0.3">
      <c r="A234" s="24"/>
      <c r="B234" s="53" t="s">
        <v>233</v>
      </c>
      <c r="C234" s="89"/>
      <c r="D234" s="89"/>
      <c r="E234" s="89"/>
      <c r="F234" s="89"/>
      <c r="G234" s="89"/>
      <c r="H234" s="89"/>
      <c r="I234" s="89"/>
      <c r="J234" s="53">
        <v>2</v>
      </c>
      <c r="K234" s="90">
        <f t="shared" si="1"/>
        <v>6.740815638692282E-4</v>
      </c>
      <c r="L234" s="52">
        <v>188</v>
      </c>
      <c r="M234" s="125">
        <f t="shared" si="2"/>
        <v>1.5543099029383071E-3</v>
      </c>
      <c r="N234" s="77"/>
      <c r="O234" s="85"/>
      <c r="P234" s="5"/>
      <c r="Q234" s="104"/>
    </row>
    <row r="235" spans="1:17" ht="15.6" x14ac:dyDescent="0.3">
      <c r="A235" s="24"/>
      <c r="B235" s="53"/>
      <c r="C235" s="89"/>
      <c r="D235" s="89"/>
      <c r="E235" s="89"/>
      <c r="F235" s="89"/>
      <c r="G235" s="89"/>
      <c r="H235" s="89"/>
      <c r="I235" s="89"/>
      <c r="J235" s="53"/>
      <c r="K235" s="90"/>
      <c r="L235" s="52"/>
      <c r="M235" s="125"/>
      <c r="N235" s="77"/>
      <c r="O235" s="85"/>
      <c r="P235" s="5"/>
      <c r="Q235" s="104"/>
    </row>
    <row r="236" spans="1:17" ht="15.6" x14ac:dyDescent="0.3">
      <c r="A236" s="24"/>
      <c r="B236" s="25"/>
      <c r="C236" s="25"/>
      <c r="D236" s="91"/>
      <c r="E236" s="91"/>
      <c r="F236" s="91"/>
      <c r="G236" s="91"/>
      <c r="H236" s="91"/>
      <c r="I236" s="91"/>
      <c r="J236" s="34">
        <f>SUM(J222:J235)</f>
        <v>2967</v>
      </c>
      <c r="K236" s="125">
        <f>SUM(K222:K235)</f>
        <v>1</v>
      </c>
      <c r="L236" s="52">
        <f>SUM(L222:L235)</f>
        <v>120954</v>
      </c>
      <c r="M236" s="125">
        <f>SUM(M222:M235)</f>
        <v>1.0000000000000002</v>
      </c>
      <c r="N236" s="25"/>
      <c r="O236" s="25"/>
      <c r="P236" s="5"/>
    </row>
    <row r="237" spans="1:17" ht="15.6" x14ac:dyDescent="0.3">
      <c r="A237" s="24"/>
      <c r="B237" s="25"/>
      <c r="C237" s="25"/>
      <c r="D237" s="91"/>
      <c r="E237" s="91"/>
      <c r="F237" s="91"/>
      <c r="G237" s="91"/>
      <c r="H237" s="91"/>
      <c r="I237" s="91"/>
      <c r="J237" s="34"/>
      <c r="K237" s="125"/>
      <c r="L237" s="52"/>
      <c r="M237" s="125"/>
      <c r="N237" s="25"/>
      <c r="O237" s="25"/>
      <c r="P237" s="5"/>
    </row>
    <row r="238" spans="1:17" ht="15.6" x14ac:dyDescent="0.3">
      <c r="A238" s="133"/>
      <c r="B238" s="14" t="s">
        <v>204</v>
      </c>
      <c r="C238" s="79"/>
      <c r="D238" s="17"/>
      <c r="E238" s="17"/>
      <c r="F238" s="17"/>
      <c r="G238" s="17"/>
      <c r="H238" s="17"/>
      <c r="I238" s="17"/>
      <c r="J238" s="80" t="s">
        <v>99</v>
      </c>
      <c r="K238" s="17" t="s">
        <v>100</v>
      </c>
      <c r="L238" s="80" t="s">
        <v>108</v>
      </c>
      <c r="M238" s="17" t="s">
        <v>100</v>
      </c>
      <c r="N238" s="131"/>
      <c r="O238" s="132"/>
      <c r="P238" s="5"/>
    </row>
    <row r="239" spans="1:17" ht="15.6" x14ac:dyDescent="0.3">
      <c r="A239" s="24"/>
      <c r="B239" s="53" t="s">
        <v>85</v>
      </c>
      <c r="C239" s="89"/>
      <c r="D239" s="89"/>
      <c r="E239" s="89"/>
      <c r="F239" s="89"/>
      <c r="G239" s="89"/>
      <c r="H239" s="89"/>
      <c r="I239" s="89"/>
      <c r="J239" s="53">
        <v>1</v>
      </c>
      <c r="K239" s="90">
        <f t="shared" ref="K239:K251" si="3">J239/$J$253</f>
        <v>1</v>
      </c>
      <c r="L239" s="52">
        <v>108</v>
      </c>
      <c r="M239" s="90">
        <f t="shared" ref="M239:M251" si="4">L239/$L$253</f>
        <v>1</v>
      </c>
      <c r="N239" s="25"/>
      <c r="O239" s="25"/>
      <c r="P239" s="5"/>
    </row>
    <row r="240" spans="1:17" ht="15.6" x14ac:dyDescent="0.3">
      <c r="A240" s="24"/>
      <c r="B240" s="53" t="s">
        <v>86</v>
      </c>
      <c r="C240" s="89"/>
      <c r="D240" s="89"/>
      <c r="E240" s="89"/>
      <c r="F240" s="89"/>
      <c r="G240" s="89"/>
      <c r="H240" s="89"/>
      <c r="I240" s="89"/>
      <c r="J240" s="53">
        <v>0</v>
      </c>
      <c r="K240" s="90">
        <f t="shared" si="3"/>
        <v>0</v>
      </c>
      <c r="L240" s="52">
        <v>0</v>
      </c>
      <c r="M240" s="90">
        <f t="shared" si="4"/>
        <v>0</v>
      </c>
      <c r="N240" s="25"/>
      <c r="O240" s="25"/>
      <c r="P240" s="5"/>
    </row>
    <row r="241" spans="1:16" ht="15.6" x14ac:dyDescent="0.3">
      <c r="A241" s="24"/>
      <c r="B241" s="53" t="s">
        <v>87</v>
      </c>
      <c r="C241" s="89"/>
      <c r="D241" s="89"/>
      <c r="E241" s="89"/>
      <c r="F241" s="89"/>
      <c r="G241" s="89"/>
      <c r="H241" s="89"/>
      <c r="I241" s="89"/>
      <c r="J241" s="53">
        <v>0</v>
      </c>
      <c r="K241" s="90">
        <f t="shared" si="3"/>
        <v>0</v>
      </c>
      <c r="L241" s="52">
        <v>0</v>
      </c>
      <c r="M241" s="90">
        <f t="shared" si="4"/>
        <v>0</v>
      </c>
      <c r="N241" s="25"/>
      <c r="O241" s="25"/>
      <c r="P241" s="5"/>
    </row>
    <row r="242" spans="1:16" ht="15.6" x14ac:dyDescent="0.3">
      <c r="A242" s="24"/>
      <c r="B242" s="53" t="s">
        <v>145</v>
      </c>
      <c r="C242" s="89"/>
      <c r="D242" s="89"/>
      <c r="E242" s="89"/>
      <c r="F242" s="89"/>
      <c r="G242" s="89"/>
      <c r="H242" s="89"/>
      <c r="I242" s="89"/>
      <c r="J242" s="53">
        <v>0</v>
      </c>
      <c r="K242" s="90">
        <f t="shared" si="3"/>
        <v>0</v>
      </c>
      <c r="L242" s="52">
        <v>0</v>
      </c>
      <c r="M242" s="90">
        <f t="shared" si="4"/>
        <v>0</v>
      </c>
      <c r="N242" s="25"/>
      <c r="O242" s="25"/>
      <c r="P242" s="5"/>
    </row>
    <row r="243" spans="1:16" ht="15.6" x14ac:dyDescent="0.3">
      <c r="A243" s="24"/>
      <c r="B243" s="53" t="s">
        <v>146</v>
      </c>
      <c r="C243" s="89"/>
      <c r="D243" s="89"/>
      <c r="E243" s="89"/>
      <c r="F243" s="89"/>
      <c r="G243" s="89"/>
      <c r="H243" s="89"/>
      <c r="I243" s="89"/>
      <c r="J243" s="53">
        <v>0</v>
      </c>
      <c r="K243" s="90">
        <f t="shared" si="3"/>
        <v>0</v>
      </c>
      <c r="L243" s="52">
        <v>0</v>
      </c>
      <c r="M243" s="90">
        <f t="shared" si="4"/>
        <v>0</v>
      </c>
      <c r="N243" s="25"/>
      <c r="O243" s="25"/>
      <c r="P243" s="5"/>
    </row>
    <row r="244" spans="1:16" ht="15.6" x14ac:dyDescent="0.3">
      <c r="A244" s="24"/>
      <c r="B244" s="53" t="s">
        <v>147</v>
      </c>
      <c r="C244" s="89"/>
      <c r="D244" s="89"/>
      <c r="E244" s="89"/>
      <c r="F244" s="89"/>
      <c r="G244" s="89"/>
      <c r="H244" s="89"/>
      <c r="I244" s="89"/>
      <c r="J244" s="53">
        <v>0</v>
      </c>
      <c r="K244" s="90">
        <f t="shared" si="3"/>
        <v>0</v>
      </c>
      <c r="L244" s="52">
        <v>0</v>
      </c>
      <c r="M244" s="90">
        <f t="shared" si="4"/>
        <v>0</v>
      </c>
      <c r="N244" s="25"/>
      <c r="O244" s="25"/>
      <c r="P244" s="5"/>
    </row>
    <row r="245" spans="1:16" ht="15.6" x14ac:dyDescent="0.3">
      <c r="A245" s="24"/>
      <c r="B245" s="53" t="s">
        <v>227</v>
      </c>
      <c r="C245" s="89"/>
      <c r="D245" s="89"/>
      <c r="E245" s="89"/>
      <c r="F245" s="89"/>
      <c r="G245" s="89"/>
      <c r="H245" s="89"/>
      <c r="I245" s="89"/>
      <c r="J245" s="53">
        <v>0</v>
      </c>
      <c r="K245" s="90">
        <f t="shared" si="3"/>
        <v>0</v>
      </c>
      <c r="L245" s="52">
        <v>0</v>
      </c>
      <c r="M245" s="90">
        <f t="shared" si="4"/>
        <v>0</v>
      </c>
      <c r="N245" s="25"/>
      <c r="O245" s="25"/>
      <c r="P245" s="5"/>
    </row>
    <row r="246" spans="1:16" ht="15.6" x14ac:dyDescent="0.3">
      <c r="A246" s="24"/>
      <c r="B246" s="53" t="s">
        <v>228</v>
      </c>
      <c r="C246" s="89"/>
      <c r="D246" s="89"/>
      <c r="E246" s="89"/>
      <c r="F246" s="89"/>
      <c r="G246" s="89"/>
      <c r="H246" s="89"/>
      <c r="I246" s="89"/>
      <c r="J246" s="53">
        <v>0</v>
      </c>
      <c r="K246" s="90">
        <f t="shared" si="3"/>
        <v>0</v>
      </c>
      <c r="L246" s="52">
        <v>0</v>
      </c>
      <c r="M246" s="90">
        <f t="shared" si="4"/>
        <v>0</v>
      </c>
      <c r="N246" s="25"/>
      <c r="O246" s="25"/>
      <c r="P246" s="5"/>
    </row>
    <row r="247" spans="1:16" ht="15.6" x14ac:dyDescent="0.3">
      <c r="A247" s="24"/>
      <c r="B247" s="53" t="s">
        <v>229</v>
      </c>
      <c r="C247" s="89"/>
      <c r="D247" s="89"/>
      <c r="E247" s="89"/>
      <c r="F247" s="89"/>
      <c r="G247" s="89"/>
      <c r="H247" s="89"/>
      <c r="I247" s="89"/>
      <c r="J247" s="53">
        <v>0</v>
      </c>
      <c r="K247" s="90">
        <f t="shared" si="3"/>
        <v>0</v>
      </c>
      <c r="L247" s="52">
        <v>0</v>
      </c>
      <c r="M247" s="90">
        <f t="shared" si="4"/>
        <v>0</v>
      </c>
      <c r="N247" s="25"/>
      <c r="O247" s="25"/>
      <c r="P247" s="5"/>
    </row>
    <row r="248" spans="1:16" ht="15.6" x14ac:dyDescent="0.3">
      <c r="A248" s="24"/>
      <c r="B248" s="53" t="s">
        <v>230</v>
      </c>
      <c r="C248" s="89"/>
      <c r="D248" s="89"/>
      <c r="E248" s="89"/>
      <c r="F248" s="89"/>
      <c r="G248" s="89"/>
      <c r="H248" s="89"/>
      <c r="I248" s="89"/>
      <c r="J248" s="53">
        <v>0</v>
      </c>
      <c r="K248" s="90">
        <f t="shared" si="3"/>
        <v>0</v>
      </c>
      <c r="L248" s="52">
        <v>0</v>
      </c>
      <c r="M248" s="90">
        <f t="shared" si="4"/>
        <v>0</v>
      </c>
      <c r="N248" s="25"/>
      <c r="O248" s="25"/>
      <c r="P248" s="5"/>
    </row>
    <row r="249" spans="1:16" ht="15.6" x14ac:dyDescent="0.3">
      <c r="A249" s="24"/>
      <c r="B249" s="53" t="s">
        <v>231</v>
      </c>
      <c r="C249" s="89"/>
      <c r="D249" s="89"/>
      <c r="E249" s="89"/>
      <c r="F249" s="89"/>
      <c r="G249" s="89"/>
      <c r="H249" s="89"/>
      <c r="I249" s="89"/>
      <c r="J249" s="53">
        <v>0</v>
      </c>
      <c r="K249" s="90">
        <f t="shared" si="3"/>
        <v>0</v>
      </c>
      <c r="L249" s="52">
        <v>0</v>
      </c>
      <c r="M249" s="90">
        <f t="shared" si="4"/>
        <v>0</v>
      </c>
      <c r="N249" s="25"/>
      <c r="O249" s="25"/>
      <c r="P249" s="5"/>
    </row>
    <row r="250" spans="1:16" ht="15.6" x14ac:dyDescent="0.3">
      <c r="A250" s="24"/>
      <c r="B250" s="53" t="s">
        <v>232</v>
      </c>
      <c r="C250" s="89"/>
      <c r="D250" s="89"/>
      <c r="E250" s="89"/>
      <c r="F250" s="89"/>
      <c r="G250" s="89"/>
      <c r="H250" s="89"/>
      <c r="I250" s="89"/>
      <c r="J250" s="53">
        <v>0</v>
      </c>
      <c r="K250" s="90">
        <f t="shared" si="3"/>
        <v>0</v>
      </c>
      <c r="L250" s="52">
        <v>0</v>
      </c>
      <c r="M250" s="90">
        <f t="shared" si="4"/>
        <v>0</v>
      </c>
      <c r="N250" s="25"/>
      <c r="O250" s="25"/>
      <c r="P250" s="5"/>
    </row>
    <row r="251" spans="1:16" ht="15.6" x14ac:dyDescent="0.3">
      <c r="A251" s="24"/>
      <c r="B251" s="53" t="s">
        <v>233</v>
      </c>
      <c r="C251" s="89"/>
      <c r="D251" s="89"/>
      <c r="E251" s="89"/>
      <c r="F251" s="89"/>
      <c r="G251" s="89"/>
      <c r="H251" s="89"/>
      <c r="I251" s="89"/>
      <c r="J251" s="53">
        <v>0</v>
      </c>
      <c r="K251" s="90">
        <f t="shared" si="3"/>
        <v>0</v>
      </c>
      <c r="L251" s="52">
        <v>0</v>
      </c>
      <c r="M251" s="90">
        <f t="shared" si="4"/>
        <v>0</v>
      </c>
      <c r="N251" s="25"/>
      <c r="O251" s="25"/>
      <c r="P251" s="5"/>
    </row>
    <row r="252" spans="1:16" ht="15.6" x14ac:dyDescent="0.3">
      <c r="A252" s="24"/>
      <c r="B252" s="53"/>
      <c r="C252" s="89"/>
      <c r="D252" s="89"/>
      <c r="E252" s="89"/>
      <c r="F252" s="89"/>
      <c r="G252" s="89"/>
      <c r="H252" s="89"/>
      <c r="I252" s="89"/>
      <c r="J252" s="53"/>
      <c r="K252" s="90"/>
      <c r="L252" s="52"/>
      <c r="M252" s="125"/>
      <c r="N252" s="25"/>
      <c r="O252" s="25"/>
      <c r="P252" s="5"/>
    </row>
    <row r="253" spans="1:16" ht="15.6" x14ac:dyDescent="0.3">
      <c r="A253" s="24"/>
      <c r="B253" s="25"/>
      <c r="C253" s="25"/>
      <c r="D253" s="91"/>
      <c r="E253" s="91"/>
      <c r="F253" s="91"/>
      <c r="G253" s="91"/>
      <c r="H253" s="91"/>
      <c r="I253" s="91"/>
      <c r="J253" s="34">
        <f>SUM(J239:J252)</f>
        <v>1</v>
      </c>
      <c r="K253" s="125">
        <f>SUM(K239:K252)</f>
        <v>1</v>
      </c>
      <c r="L253" s="52">
        <f>SUM(L239:L252)</f>
        <v>108</v>
      </c>
      <c r="M253" s="125">
        <f>SUM(M239:M252)</f>
        <v>1</v>
      </c>
      <c r="N253" s="25"/>
      <c r="O253" s="25"/>
      <c r="P253" s="5"/>
    </row>
    <row r="254" spans="1:16" ht="15.6" x14ac:dyDescent="0.3">
      <c r="A254" s="24"/>
      <c r="B254" s="25"/>
      <c r="C254" s="25"/>
      <c r="D254" s="91"/>
      <c r="E254" s="91"/>
      <c r="F254" s="91"/>
      <c r="G254" s="91"/>
      <c r="H254" s="91"/>
      <c r="I254" s="91"/>
      <c r="J254" s="34"/>
      <c r="K254" s="125"/>
      <c r="L254" s="52"/>
      <c r="M254" s="125"/>
      <c r="N254" s="25"/>
      <c r="O254" s="25"/>
      <c r="P254" s="5"/>
    </row>
    <row r="255" spans="1:16" ht="15.6" x14ac:dyDescent="0.3">
      <c r="A255" s="133"/>
      <c r="B255" s="14" t="s">
        <v>150</v>
      </c>
      <c r="C255" s="131"/>
      <c r="D255" s="137"/>
      <c r="E255" s="137"/>
      <c r="F255" s="137"/>
      <c r="G255" s="137"/>
      <c r="H255" s="137"/>
      <c r="I255" s="137"/>
      <c r="J255" s="80" t="s">
        <v>99</v>
      </c>
      <c r="K255" s="17" t="s">
        <v>100</v>
      </c>
      <c r="L255" s="80" t="s">
        <v>108</v>
      </c>
      <c r="M255" s="17" t="s">
        <v>100</v>
      </c>
      <c r="N255" s="131"/>
      <c r="O255" s="132"/>
      <c r="P255" s="5"/>
    </row>
    <row r="256" spans="1:16" ht="15.6" x14ac:dyDescent="0.3">
      <c r="A256" s="24"/>
      <c r="B256" s="53" t="s">
        <v>85</v>
      </c>
      <c r="C256" s="25"/>
      <c r="D256" s="91"/>
      <c r="E256" s="91"/>
      <c r="F256" s="91"/>
      <c r="G256" s="91"/>
      <c r="H256" s="91"/>
      <c r="I256" s="91"/>
      <c r="J256" s="53">
        <v>0</v>
      </c>
      <c r="K256" s="90">
        <f t="shared" ref="K256:K268" si="5">J256/$J$270</f>
        <v>0</v>
      </c>
      <c r="L256" s="52">
        <v>0</v>
      </c>
      <c r="M256" s="90">
        <f t="shared" ref="M256:M268" si="6">L256/$L$270</f>
        <v>0</v>
      </c>
      <c r="N256" s="25"/>
      <c r="O256" s="25"/>
      <c r="P256" s="5"/>
    </row>
    <row r="257" spans="1:16" ht="15.6" x14ac:dyDescent="0.3">
      <c r="A257" s="24"/>
      <c r="B257" s="53" t="s">
        <v>86</v>
      </c>
      <c r="C257" s="25"/>
      <c r="D257" s="91"/>
      <c r="E257" s="91"/>
      <c r="F257" s="91"/>
      <c r="G257" s="91"/>
      <c r="H257" s="91"/>
      <c r="I257" s="91"/>
      <c r="J257" s="53">
        <v>0</v>
      </c>
      <c r="K257" s="90">
        <f t="shared" si="5"/>
        <v>0</v>
      </c>
      <c r="L257" s="52">
        <v>0</v>
      </c>
      <c r="M257" s="90">
        <f t="shared" si="6"/>
        <v>0</v>
      </c>
      <c r="N257" s="25"/>
      <c r="O257" s="25"/>
      <c r="P257" s="5"/>
    </row>
    <row r="258" spans="1:16" ht="15.6" x14ac:dyDescent="0.3">
      <c r="A258" s="24"/>
      <c r="B258" s="53" t="s">
        <v>87</v>
      </c>
      <c r="C258" s="25"/>
      <c r="D258" s="91"/>
      <c r="E258" s="91"/>
      <c r="F258" s="91"/>
      <c r="G258" s="91"/>
      <c r="H258" s="91"/>
      <c r="I258" s="91"/>
      <c r="J258" s="53">
        <v>0</v>
      </c>
      <c r="K258" s="90">
        <f t="shared" si="5"/>
        <v>0</v>
      </c>
      <c r="L258" s="52">
        <v>0</v>
      </c>
      <c r="M258" s="90">
        <f t="shared" si="6"/>
        <v>0</v>
      </c>
      <c r="N258" s="25"/>
      <c r="O258" s="25"/>
      <c r="P258" s="5"/>
    </row>
    <row r="259" spans="1:16" ht="15.6" x14ac:dyDescent="0.3">
      <c r="A259" s="24"/>
      <c r="B259" s="53" t="s">
        <v>145</v>
      </c>
      <c r="C259" s="25"/>
      <c r="D259" s="91"/>
      <c r="E259" s="91"/>
      <c r="F259" s="91"/>
      <c r="G259" s="91"/>
      <c r="H259" s="91"/>
      <c r="I259" s="91"/>
      <c r="J259" s="53">
        <v>0</v>
      </c>
      <c r="K259" s="90">
        <f t="shared" si="5"/>
        <v>0</v>
      </c>
      <c r="L259" s="52">
        <v>0</v>
      </c>
      <c r="M259" s="90">
        <f t="shared" si="6"/>
        <v>0</v>
      </c>
      <c r="N259" s="25"/>
      <c r="O259" s="25"/>
      <c r="P259" s="5"/>
    </row>
    <row r="260" spans="1:16" ht="15.6" x14ac:dyDescent="0.3">
      <c r="A260" s="24"/>
      <c r="B260" s="53" t="s">
        <v>146</v>
      </c>
      <c r="C260" s="25"/>
      <c r="D260" s="91"/>
      <c r="E260" s="91"/>
      <c r="F260" s="91"/>
      <c r="G260" s="91"/>
      <c r="H260" s="91"/>
      <c r="I260" s="91"/>
      <c r="J260" s="53">
        <v>0</v>
      </c>
      <c r="K260" s="90">
        <f t="shared" si="5"/>
        <v>0</v>
      </c>
      <c r="L260" s="52">
        <v>0</v>
      </c>
      <c r="M260" s="90">
        <f t="shared" si="6"/>
        <v>0</v>
      </c>
      <c r="N260" s="25"/>
      <c r="O260" s="25"/>
      <c r="P260" s="5"/>
    </row>
    <row r="261" spans="1:16" ht="15.6" x14ac:dyDescent="0.3">
      <c r="A261" s="24"/>
      <c r="B261" s="53" t="s">
        <v>147</v>
      </c>
      <c r="C261" s="25"/>
      <c r="D261" s="91"/>
      <c r="E261" s="91"/>
      <c r="F261" s="91"/>
      <c r="G261" s="91"/>
      <c r="H261" s="91"/>
      <c r="I261" s="91"/>
      <c r="J261" s="53">
        <v>0</v>
      </c>
      <c r="K261" s="90">
        <f t="shared" si="5"/>
        <v>0</v>
      </c>
      <c r="L261" s="52">
        <v>0</v>
      </c>
      <c r="M261" s="90">
        <f t="shared" si="6"/>
        <v>0</v>
      </c>
      <c r="N261" s="25"/>
      <c r="O261" s="25"/>
      <c r="P261" s="5"/>
    </row>
    <row r="262" spans="1:16" ht="15.6" x14ac:dyDescent="0.3">
      <c r="A262" s="24"/>
      <c r="B262" s="53" t="s">
        <v>227</v>
      </c>
      <c r="C262" s="25"/>
      <c r="D262" s="91"/>
      <c r="E262" s="91"/>
      <c r="F262" s="91"/>
      <c r="G262" s="91"/>
      <c r="H262" s="91"/>
      <c r="I262" s="91"/>
      <c r="J262" s="53">
        <v>0</v>
      </c>
      <c r="K262" s="90">
        <f t="shared" si="5"/>
        <v>0</v>
      </c>
      <c r="L262" s="52">
        <v>0</v>
      </c>
      <c r="M262" s="90">
        <f t="shared" si="6"/>
        <v>0</v>
      </c>
      <c r="N262" s="25"/>
      <c r="O262" s="25"/>
      <c r="P262" s="5"/>
    </row>
    <row r="263" spans="1:16" ht="15.6" x14ac:dyDescent="0.3">
      <c r="A263" s="24"/>
      <c r="B263" s="53" t="s">
        <v>228</v>
      </c>
      <c r="C263" s="25"/>
      <c r="D263" s="91"/>
      <c r="E263" s="91"/>
      <c r="F263" s="91"/>
      <c r="G263" s="91"/>
      <c r="H263" s="91"/>
      <c r="I263" s="91"/>
      <c r="J263" s="53">
        <v>2</v>
      </c>
      <c r="K263" s="90">
        <f t="shared" si="5"/>
        <v>0.5</v>
      </c>
      <c r="L263" s="52">
        <v>124</v>
      </c>
      <c r="M263" s="90">
        <f t="shared" si="6"/>
        <v>0.6966292134831461</v>
      </c>
      <c r="N263" s="25"/>
      <c r="O263" s="25"/>
      <c r="P263" s="5"/>
    </row>
    <row r="264" spans="1:16" ht="15.6" x14ac:dyDescent="0.3">
      <c r="A264" s="24"/>
      <c r="B264" s="53" t="s">
        <v>229</v>
      </c>
      <c r="C264" s="25"/>
      <c r="D264" s="91"/>
      <c r="E264" s="91"/>
      <c r="F264" s="91"/>
      <c r="G264" s="91"/>
      <c r="H264" s="91"/>
      <c r="I264" s="91"/>
      <c r="J264" s="53">
        <v>1</v>
      </c>
      <c r="K264" s="90">
        <f t="shared" si="5"/>
        <v>0.25</v>
      </c>
      <c r="L264" s="52">
        <v>17</v>
      </c>
      <c r="M264" s="90">
        <f t="shared" si="6"/>
        <v>9.5505617977528087E-2</v>
      </c>
      <c r="N264" s="25"/>
      <c r="O264" s="25"/>
      <c r="P264" s="5"/>
    </row>
    <row r="265" spans="1:16" ht="15.6" x14ac:dyDescent="0.3">
      <c r="A265" s="24"/>
      <c r="B265" s="53" t="s">
        <v>230</v>
      </c>
      <c r="C265" s="25"/>
      <c r="D265" s="91"/>
      <c r="E265" s="91"/>
      <c r="F265" s="91"/>
      <c r="G265" s="91"/>
      <c r="H265" s="91"/>
      <c r="I265" s="91"/>
      <c r="J265" s="53">
        <v>1</v>
      </c>
      <c r="K265" s="90">
        <f t="shared" si="5"/>
        <v>0.25</v>
      </c>
      <c r="L265" s="52">
        <v>37</v>
      </c>
      <c r="M265" s="90">
        <f t="shared" si="6"/>
        <v>0.20786516853932585</v>
      </c>
      <c r="N265" s="25"/>
      <c r="O265" s="25"/>
      <c r="P265" s="5"/>
    </row>
    <row r="266" spans="1:16" ht="15.6" x14ac:dyDescent="0.3">
      <c r="A266" s="24"/>
      <c r="B266" s="53" t="s">
        <v>231</v>
      </c>
      <c r="C266" s="25"/>
      <c r="D266" s="91"/>
      <c r="E266" s="91"/>
      <c r="F266" s="91"/>
      <c r="G266" s="91"/>
      <c r="H266" s="91"/>
      <c r="I266" s="91"/>
      <c r="J266" s="53">
        <v>0</v>
      </c>
      <c r="K266" s="90">
        <f t="shared" si="5"/>
        <v>0</v>
      </c>
      <c r="L266" s="52">
        <v>0</v>
      </c>
      <c r="M266" s="90">
        <f t="shared" si="6"/>
        <v>0</v>
      </c>
      <c r="N266" s="25"/>
      <c r="O266" s="25"/>
      <c r="P266" s="5"/>
    </row>
    <row r="267" spans="1:16" ht="15.6" x14ac:dyDescent="0.3">
      <c r="A267" s="24"/>
      <c r="B267" s="53" t="s">
        <v>232</v>
      </c>
      <c r="C267" s="25"/>
      <c r="D267" s="91"/>
      <c r="E267" s="91"/>
      <c r="F267" s="91"/>
      <c r="G267" s="91"/>
      <c r="H267" s="91"/>
      <c r="I267" s="91"/>
      <c r="J267" s="53">
        <v>0</v>
      </c>
      <c r="K267" s="90">
        <f t="shared" si="5"/>
        <v>0</v>
      </c>
      <c r="L267" s="52">
        <v>0</v>
      </c>
      <c r="M267" s="90">
        <f t="shared" si="6"/>
        <v>0</v>
      </c>
      <c r="N267" s="25"/>
      <c r="O267" s="25"/>
      <c r="P267" s="5"/>
    </row>
    <row r="268" spans="1:16" ht="15.6" x14ac:dyDescent="0.3">
      <c r="A268" s="24"/>
      <c r="B268" s="53" t="s">
        <v>233</v>
      </c>
      <c r="C268" s="25"/>
      <c r="D268" s="91"/>
      <c r="E268" s="91"/>
      <c r="F268" s="91"/>
      <c r="G268" s="91"/>
      <c r="H268" s="91"/>
      <c r="I268" s="91"/>
      <c r="J268" s="53">
        <v>0</v>
      </c>
      <c r="K268" s="90">
        <f t="shared" si="5"/>
        <v>0</v>
      </c>
      <c r="L268" s="52">
        <v>0</v>
      </c>
      <c r="M268" s="90">
        <f t="shared" si="6"/>
        <v>0</v>
      </c>
      <c r="N268" s="25"/>
      <c r="O268" s="25"/>
      <c r="P268" s="5"/>
    </row>
    <row r="269" spans="1:16" ht="15.6" x14ac:dyDescent="0.3">
      <c r="A269" s="24"/>
      <c r="B269" s="53"/>
      <c r="C269" s="25"/>
      <c r="D269" s="91"/>
      <c r="E269" s="91"/>
      <c r="F269" s="91"/>
      <c r="G269" s="91"/>
      <c r="H269" s="91"/>
      <c r="I269" s="91"/>
      <c r="J269" s="53"/>
      <c r="K269" s="90"/>
      <c r="L269" s="52"/>
      <c r="M269" s="125"/>
      <c r="N269" s="25"/>
      <c r="O269" s="25"/>
      <c r="P269" s="5"/>
    </row>
    <row r="270" spans="1:16" ht="15.6" x14ac:dyDescent="0.3">
      <c r="A270" s="24"/>
      <c r="B270" s="25" t="s">
        <v>114</v>
      </c>
      <c r="C270" s="25"/>
      <c r="D270" s="91"/>
      <c r="E270" s="91"/>
      <c r="F270" s="91"/>
      <c r="G270" s="91"/>
      <c r="H270" s="91"/>
      <c r="I270" s="91"/>
      <c r="J270" s="34">
        <f>SUM(J256:J268)</f>
        <v>4</v>
      </c>
      <c r="K270" s="90">
        <f>SUM(K256:K268)</f>
        <v>1</v>
      </c>
      <c r="L270" s="52">
        <f>SUM(L256:L268)</f>
        <v>178</v>
      </c>
      <c r="M270" s="125">
        <f>SUM(M256:M268)</f>
        <v>1</v>
      </c>
      <c r="N270" s="25"/>
      <c r="O270" s="25"/>
      <c r="P270" s="5"/>
    </row>
    <row r="271" spans="1:16" ht="15.6" x14ac:dyDescent="0.3">
      <c r="A271" s="24"/>
      <c r="B271" s="25"/>
      <c r="C271" s="25"/>
      <c r="D271" s="91"/>
      <c r="E271" s="91"/>
      <c r="F271" s="91"/>
      <c r="G271" s="91"/>
      <c r="H271" s="91"/>
      <c r="I271" s="91"/>
      <c r="J271" s="34"/>
      <c r="K271" s="125"/>
      <c r="L271" s="52"/>
      <c r="M271" s="125"/>
      <c r="N271" s="25"/>
      <c r="O271" s="25"/>
      <c r="P271" s="5"/>
    </row>
    <row r="272" spans="1:16" ht="15.6" x14ac:dyDescent="0.3">
      <c r="A272" s="24"/>
      <c r="B272" s="134" t="s">
        <v>151</v>
      </c>
      <c r="C272" s="25"/>
      <c r="D272" s="91"/>
      <c r="E272" s="91"/>
      <c r="F272" s="91"/>
      <c r="G272" s="91"/>
      <c r="H272" s="91"/>
      <c r="I272" s="91"/>
      <c r="J272" s="149">
        <f>J270+J253+J236</f>
        <v>2972</v>
      </c>
      <c r="K272" s="135"/>
      <c r="L272" s="136">
        <f>+L270+L253+L236</f>
        <v>121240</v>
      </c>
      <c r="M272" s="135"/>
      <c r="N272" s="25"/>
      <c r="O272" s="25"/>
      <c r="P272" s="5"/>
    </row>
    <row r="273" spans="1:16" ht="15.6" x14ac:dyDescent="0.3">
      <c r="A273" s="24"/>
      <c r="B273" s="25"/>
      <c r="C273" s="25"/>
      <c r="D273" s="91"/>
      <c r="E273" s="91"/>
      <c r="F273" s="91"/>
      <c r="G273" s="91"/>
      <c r="H273" s="91"/>
      <c r="I273" s="91"/>
      <c r="J273" s="91"/>
      <c r="K273" s="91"/>
      <c r="L273" s="52"/>
      <c r="M273" s="91"/>
      <c r="N273" s="25"/>
      <c r="O273" s="25"/>
      <c r="P273" s="5"/>
    </row>
    <row r="274" spans="1:16" ht="15.6" x14ac:dyDescent="0.3">
      <c r="A274" s="6"/>
      <c r="B274" s="8"/>
      <c r="C274" s="8"/>
      <c r="D274" s="92"/>
      <c r="E274" s="92"/>
      <c r="F274" s="92"/>
      <c r="G274" s="92"/>
      <c r="H274" s="92"/>
      <c r="I274" s="92"/>
      <c r="J274" s="92"/>
      <c r="K274" s="92"/>
      <c r="L274" s="93"/>
      <c r="M274" s="92"/>
      <c r="N274" s="8"/>
      <c r="O274" s="8"/>
      <c r="P274" s="5"/>
    </row>
    <row r="275" spans="1:16" ht="15.6" x14ac:dyDescent="0.3">
      <c r="A275" s="179"/>
      <c r="B275" s="14" t="s">
        <v>88</v>
      </c>
      <c r="C275" s="15"/>
      <c r="D275" s="17" t="s">
        <v>94</v>
      </c>
      <c r="E275" s="15"/>
      <c r="F275" s="14" t="s">
        <v>96</v>
      </c>
      <c r="G275" s="174"/>
      <c r="H275" s="174"/>
      <c r="I275" s="174"/>
      <c r="J275" s="17"/>
      <c r="K275" s="15"/>
      <c r="L275" s="14"/>
      <c r="M275" s="174"/>
      <c r="N275" s="174"/>
      <c r="O275" s="174"/>
      <c r="P275" s="5"/>
    </row>
    <row r="276" spans="1:16" ht="15.6" x14ac:dyDescent="0.3">
      <c r="A276" s="179"/>
      <c r="B276" s="174"/>
      <c r="C276" s="8"/>
      <c r="D276" s="8"/>
      <c r="E276" s="8"/>
      <c r="F276" s="8"/>
      <c r="G276" s="174"/>
      <c r="H276" s="174"/>
      <c r="I276" s="174"/>
      <c r="J276" s="8"/>
      <c r="K276" s="8"/>
      <c r="L276" s="8"/>
      <c r="M276" s="174"/>
      <c r="N276" s="174"/>
      <c r="O276" s="174"/>
      <c r="P276" s="5"/>
    </row>
    <row r="277" spans="1:16" ht="15.6" x14ac:dyDescent="0.3">
      <c r="A277" s="179"/>
      <c r="B277" s="13" t="s">
        <v>89</v>
      </c>
      <c r="C277" s="13"/>
      <c r="D277" s="123" t="s">
        <v>138</v>
      </c>
      <c r="E277" s="13"/>
      <c r="F277" s="13" t="s">
        <v>141</v>
      </c>
      <c r="G277" s="174"/>
      <c r="H277" s="174"/>
      <c r="I277" s="174"/>
      <c r="J277" s="123"/>
      <c r="K277" s="13"/>
      <c r="L277" s="13"/>
      <c r="M277" s="174"/>
      <c r="N277" s="174"/>
      <c r="O277" s="174"/>
      <c r="P277" s="5"/>
    </row>
    <row r="278" spans="1:16" ht="15.6" x14ac:dyDescent="0.3">
      <c r="A278" s="13"/>
      <c r="B278" s="13" t="s">
        <v>239</v>
      </c>
      <c r="C278" s="13"/>
      <c r="D278" s="123" t="s">
        <v>240</v>
      </c>
      <c r="E278" s="123"/>
      <c r="F278" s="13" t="s">
        <v>241</v>
      </c>
      <c r="G278" s="13"/>
      <c r="H278" s="174"/>
      <c r="I278" s="174"/>
      <c r="J278" s="123"/>
      <c r="K278" s="13"/>
      <c r="L278" s="13"/>
      <c r="M278" s="174"/>
      <c r="N278" s="174"/>
      <c r="O278" s="174"/>
      <c r="P278" s="5"/>
    </row>
    <row r="279" spans="1:16" ht="15.6" x14ac:dyDescent="0.3">
      <c r="A279" s="179"/>
      <c r="B279" s="13" t="s">
        <v>90</v>
      </c>
      <c r="C279" s="13"/>
      <c r="D279" s="123" t="s">
        <v>137</v>
      </c>
      <c r="E279" s="13"/>
      <c r="F279" s="13" t="s">
        <v>142</v>
      </c>
      <c r="G279" s="174"/>
      <c r="H279" s="174"/>
      <c r="I279" s="174"/>
      <c r="J279" s="123"/>
      <c r="K279" s="13"/>
      <c r="L279" s="13"/>
      <c r="M279" s="174"/>
      <c r="N279" s="174"/>
      <c r="O279" s="174"/>
      <c r="P279" s="5"/>
    </row>
    <row r="280" spans="1:16" ht="15.6" x14ac:dyDescent="0.3">
      <c r="A280" s="179"/>
      <c r="B280" s="13"/>
      <c r="C280" s="13"/>
      <c r="D280" s="174"/>
      <c r="E280" s="174"/>
      <c r="F280" s="174"/>
      <c r="G280" s="174"/>
      <c r="H280" s="174"/>
      <c r="I280" s="174"/>
      <c r="J280" s="174"/>
      <c r="K280" s="174"/>
      <c r="L280" s="174"/>
      <c r="M280" s="174"/>
      <c r="N280" s="174"/>
      <c r="O280" s="174"/>
      <c r="P280" s="5"/>
    </row>
    <row r="281" spans="1:16" ht="15.6" x14ac:dyDescent="0.3">
      <c r="A281" s="179"/>
      <c r="B281" s="13"/>
      <c r="C281" s="13"/>
      <c r="D281" s="174"/>
      <c r="E281" s="174"/>
      <c r="F281" s="174"/>
      <c r="G281" s="174"/>
      <c r="H281" s="174"/>
      <c r="I281" s="174"/>
      <c r="J281" s="174"/>
      <c r="K281" s="174"/>
      <c r="L281" s="174"/>
      <c r="M281" s="174"/>
      <c r="N281" s="174"/>
      <c r="O281" s="174"/>
      <c r="P281" s="5"/>
    </row>
    <row r="282" spans="1:16" ht="18" thickBot="1" x14ac:dyDescent="0.35">
      <c r="A282" s="179"/>
      <c r="B282" s="48" t="str">
        <f>B183</f>
        <v>FF7 INVESTOR REPORT QUARTER ENDING FEBRUARY 2010</v>
      </c>
      <c r="C282" s="13"/>
      <c r="D282" s="174"/>
      <c r="E282" s="174"/>
      <c r="F282" s="174"/>
      <c r="G282" s="174"/>
      <c r="H282" s="174"/>
      <c r="I282" s="174"/>
      <c r="J282" s="174"/>
      <c r="K282" s="174"/>
      <c r="L282" s="174"/>
      <c r="M282" s="174"/>
      <c r="N282" s="174"/>
      <c r="O282" s="174"/>
      <c r="P282" s="5"/>
    </row>
    <row r="283" spans="1:16" x14ac:dyDescent="0.25">
      <c r="A283" s="95"/>
      <c r="B283" s="95"/>
      <c r="C283" s="95"/>
      <c r="D283" s="95"/>
      <c r="E283" s="95"/>
      <c r="F283" s="95"/>
      <c r="G283" s="95"/>
      <c r="H283" s="95"/>
      <c r="I283" s="95"/>
      <c r="J283" s="95"/>
      <c r="K283" s="95"/>
      <c r="L283" s="95"/>
      <c r="M283" s="95"/>
      <c r="N283" s="95"/>
      <c r="O283"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3" manualBreakCount="3">
    <brk id="52" max="14" man="1"/>
    <brk id="116" max="14" man="1"/>
    <brk id="183"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sheetPr>
  <dimension ref="A1:IV282"/>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5.2699999999999997E-2</v>
      </c>
      <c r="L16" s="232" t="s">
        <v>133</v>
      </c>
      <c r="M16" s="231">
        <v>0.94730000000000003</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40347</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3"/>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72" t="s">
        <v>162</v>
      </c>
      <c r="C24" s="273"/>
      <c r="D24" s="267" t="s">
        <v>134</v>
      </c>
      <c r="E24" s="267"/>
      <c r="F24" s="267" t="s">
        <v>152</v>
      </c>
      <c r="G24" s="267"/>
      <c r="H24" s="267" t="s">
        <v>135</v>
      </c>
      <c r="I24" s="267"/>
      <c r="J24" s="267"/>
      <c r="K24" s="273"/>
      <c r="L24" s="267"/>
      <c r="M24" s="268"/>
      <c r="N24" s="269"/>
      <c r="O24" s="270"/>
      <c r="P24" s="5"/>
    </row>
    <row r="25" spans="1:16" ht="15.6" x14ac:dyDescent="0.3">
      <c r="A25" s="274"/>
      <c r="B25" s="275" t="s">
        <v>163</v>
      </c>
      <c r="C25" s="267"/>
      <c r="D25" s="273" t="s">
        <v>134</v>
      </c>
      <c r="E25" s="273"/>
      <c r="F25" s="273" t="s">
        <v>152</v>
      </c>
      <c r="G25" s="273"/>
      <c r="H25" s="273" t="s">
        <v>135</v>
      </c>
      <c r="I25" s="273"/>
      <c r="J25" s="273"/>
      <c r="K25" s="267"/>
      <c r="L25" s="276"/>
      <c r="M25" s="268"/>
      <c r="N25" s="268"/>
      <c r="O25" s="266"/>
      <c r="P25" s="5"/>
    </row>
    <row r="26" spans="1:16" ht="15.6" x14ac:dyDescent="0.3">
      <c r="A26" s="274"/>
      <c r="B26" s="277" t="s">
        <v>164</v>
      </c>
      <c r="C26" s="267"/>
      <c r="D26" s="273" t="s">
        <v>134</v>
      </c>
      <c r="E26" s="273"/>
      <c r="F26" s="273" t="s">
        <v>152</v>
      </c>
      <c r="G26" s="273"/>
      <c r="H26" s="273" t="s">
        <v>135</v>
      </c>
      <c r="I26" s="273"/>
      <c r="J26" s="273"/>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87">
        <f>SUM(D28:H28)</f>
        <v>268600</v>
      </c>
      <c r="O28" s="281"/>
      <c r="P28" s="5"/>
    </row>
    <row r="29" spans="1:16" ht="15.6" x14ac:dyDescent="0.3">
      <c r="A29" s="274"/>
      <c r="B29" s="263" t="s">
        <v>128</v>
      </c>
      <c r="C29" s="278"/>
      <c r="D29" s="279">
        <f>D28*D32</f>
        <v>113965.31140000001</v>
      </c>
      <c r="E29" s="279"/>
      <c r="F29" s="279">
        <f>F28*F32</f>
        <v>3637.12923</v>
      </c>
      <c r="G29" s="279"/>
      <c r="H29" s="279">
        <f>H28*H32</f>
        <v>3637.12923</v>
      </c>
      <c r="I29" s="279"/>
      <c r="J29" s="284"/>
      <c r="K29" s="279"/>
      <c r="L29" s="279"/>
      <c r="M29" s="280"/>
      <c r="N29" s="279">
        <f>SUM(D29:H29)</f>
        <v>121239.56986000002</v>
      </c>
      <c r="O29" s="281"/>
      <c r="P29" s="5"/>
    </row>
    <row r="30" spans="1:16" ht="15.6" x14ac:dyDescent="0.3">
      <c r="A30" s="274"/>
      <c r="B30" s="275" t="s">
        <v>130</v>
      </c>
      <c r="C30" s="278"/>
      <c r="D30" s="285">
        <f>D28*D31</f>
        <v>109449.9607</v>
      </c>
      <c r="E30" s="285"/>
      <c r="F30" s="285">
        <f>F28*F31</f>
        <v>3493.0213199999998</v>
      </c>
      <c r="G30" s="285"/>
      <c r="H30" s="285">
        <f>H28*H31</f>
        <v>3493.0213199999998</v>
      </c>
      <c r="I30" s="285"/>
      <c r="J30" s="288"/>
      <c r="K30" s="279"/>
      <c r="L30" s="279"/>
      <c r="M30" s="280"/>
      <c r="N30" s="289">
        <f>SUM(D30:I30)</f>
        <v>116436.00334</v>
      </c>
      <c r="O30" s="281"/>
      <c r="P30" s="5"/>
    </row>
    <row r="31" spans="1:16" ht="15.6" x14ac:dyDescent="0.3">
      <c r="A31" s="262"/>
      <c r="B31" s="290" t="s">
        <v>126</v>
      </c>
      <c r="C31" s="291"/>
      <c r="D31" s="292">
        <v>0.42015340000000001</v>
      </c>
      <c r="E31" s="292"/>
      <c r="F31" s="292">
        <v>0.86247439999999997</v>
      </c>
      <c r="G31" s="292"/>
      <c r="H31" s="292">
        <v>0.86247439999999997</v>
      </c>
      <c r="I31" s="293"/>
      <c r="J31" s="293"/>
      <c r="K31" s="294"/>
      <c r="L31" s="294"/>
      <c r="M31" s="269"/>
      <c r="N31" s="269"/>
      <c r="O31" s="270"/>
      <c r="P31" s="5"/>
    </row>
    <row r="32" spans="1:16" ht="15.6" x14ac:dyDescent="0.3">
      <c r="A32" s="262"/>
      <c r="B32" s="290" t="s">
        <v>127</v>
      </c>
      <c r="C32" s="291"/>
      <c r="D32" s="292">
        <v>0.43748680000000001</v>
      </c>
      <c r="E32" s="292"/>
      <c r="F32" s="292">
        <v>0.89805659999999998</v>
      </c>
      <c r="G32" s="292"/>
      <c r="H32" s="292">
        <v>0.89805659999999998</v>
      </c>
      <c r="I32" s="293"/>
      <c r="J32" s="293"/>
      <c r="K32" s="295"/>
      <c r="L32" s="296"/>
      <c r="M32" s="269"/>
      <c r="N32" s="295"/>
      <c r="O32" s="270"/>
      <c r="P32" s="5"/>
    </row>
    <row r="33" spans="1:17" ht="15.6" x14ac:dyDescent="0.3">
      <c r="A33" s="274"/>
      <c r="B33" s="263" t="s">
        <v>9</v>
      </c>
      <c r="C33" s="263"/>
      <c r="D33" s="276" t="s">
        <v>192</v>
      </c>
      <c r="E33" s="276"/>
      <c r="F33" s="276" t="s">
        <v>194</v>
      </c>
      <c r="G33" s="276"/>
      <c r="H33" s="276" t="s">
        <v>196</v>
      </c>
      <c r="I33" s="276"/>
      <c r="J33" s="276"/>
      <c r="K33" s="297"/>
      <c r="L33" s="298"/>
      <c r="M33" s="268"/>
      <c r="N33" s="268"/>
      <c r="O33" s="266"/>
      <c r="P33" s="5"/>
    </row>
    <row r="34" spans="1:17" ht="15.6" x14ac:dyDescent="0.3">
      <c r="A34" s="274"/>
      <c r="B34" s="263" t="s">
        <v>10</v>
      </c>
      <c r="C34" s="263"/>
      <c r="D34" s="298">
        <v>7.6499999999999997E-3</v>
      </c>
      <c r="E34" s="297"/>
      <c r="F34" s="298">
        <v>8.2500000000000004E-3</v>
      </c>
      <c r="G34" s="297"/>
      <c r="H34" s="298">
        <v>9.2499999999999995E-3</v>
      </c>
      <c r="I34" s="297"/>
      <c r="J34" s="298"/>
      <c r="K34" s="297"/>
      <c r="L34" s="298"/>
      <c r="M34" s="268"/>
      <c r="N34" s="297">
        <f>SUMPRODUCT(D34:H34,D29:H29)/N29</f>
        <v>7.7159989499735087E-3</v>
      </c>
      <c r="O34" s="266"/>
      <c r="P34" s="5"/>
    </row>
    <row r="35" spans="1:17" ht="15.6" x14ac:dyDescent="0.3">
      <c r="A35" s="274"/>
      <c r="B35" s="263" t="s">
        <v>11</v>
      </c>
      <c r="C35" s="263"/>
      <c r="D35" s="298">
        <v>7.2563000000000002E-3</v>
      </c>
      <c r="E35" s="297"/>
      <c r="F35" s="298">
        <v>7.8563000000000001E-3</v>
      </c>
      <c r="G35" s="297"/>
      <c r="H35" s="298">
        <v>8.8562999999999992E-3</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6.3828644572551219E-2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40344</v>
      </c>
      <c r="O45" s="266"/>
      <c r="P45" s="5"/>
    </row>
    <row r="46" spans="1:17" ht="15.6" x14ac:dyDescent="0.3">
      <c r="A46" s="274"/>
      <c r="B46" s="263" t="s">
        <v>119</v>
      </c>
      <c r="C46" s="263"/>
      <c r="D46" s="305"/>
      <c r="E46" s="305"/>
      <c r="F46" s="305"/>
      <c r="G46" s="305"/>
      <c r="H46" s="305"/>
      <c r="I46" s="305"/>
      <c r="J46" s="263">
        <f>+N46-L46+1</f>
        <v>90</v>
      </c>
      <c r="K46" s="305"/>
      <c r="L46" s="306">
        <v>40162</v>
      </c>
      <c r="M46" s="307"/>
      <c r="N46" s="306">
        <v>40251</v>
      </c>
      <c r="O46" s="266"/>
      <c r="P46" s="5"/>
    </row>
    <row r="47" spans="1:17" ht="15.6" x14ac:dyDescent="0.3">
      <c r="A47" s="274"/>
      <c r="B47" s="263" t="s">
        <v>120</v>
      </c>
      <c r="C47" s="263"/>
      <c r="D47" s="263"/>
      <c r="E47" s="263"/>
      <c r="F47" s="263"/>
      <c r="G47" s="263"/>
      <c r="H47" s="263"/>
      <c r="I47" s="263"/>
      <c r="J47" s="263">
        <f>+N47-L47+1</f>
        <v>92</v>
      </c>
      <c r="K47" s="263"/>
      <c r="L47" s="306">
        <v>40252</v>
      </c>
      <c r="M47" s="307"/>
      <c r="N47" s="306">
        <v>40343</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40330</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256</v>
      </c>
      <c r="C52" s="243"/>
      <c r="D52" s="243"/>
      <c r="E52" s="243"/>
      <c r="F52" s="243"/>
      <c r="G52" s="243"/>
      <c r="H52" s="243"/>
      <c r="I52" s="243"/>
      <c r="J52" s="243"/>
      <c r="K52" s="243"/>
      <c r="L52" s="243"/>
      <c r="M52" s="243"/>
      <c r="N52" s="244"/>
      <c r="O52" s="245"/>
      <c r="P52" s="5"/>
    </row>
    <row r="53" spans="1:16" ht="15.6" x14ac:dyDescent="0.3">
      <c r="A53" s="360"/>
      <c r="B53" s="36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121240</v>
      </c>
      <c r="G56" s="264"/>
      <c r="H56" s="264">
        <f>4804+1367+624</f>
        <v>6795</v>
      </c>
      <c r="I56" s="264"/>
      <c r="J56" s="264">
        <f>1367+624</f>
        <v>1991</v>
      </c>
      <c r="K56" s="264"/>
      <c r="L56" s="264">
        <v>0</v>
      </c>
      <c r="M56" s="264"/>
      <c r="N56" s="265">
        <f>+F56-H56+J56-L56</f>
        <v>116436</v>
      </c>
      <c r="O56" s="266"/>
      <c r="P56" s="5"/>
    </row>
    <row r="57" spans="1:16" ht="15.6" x14ac:dyDescent="0.3">
      <c r="A57" s="262"/>
      <c r="B57" s="263" t="s">
        <v>209</v>
      </c>
      <c r="C57" s="264"/>
      <c r="D57" s="264">
        <v>756</v>
      </c>
      <c r="E57" s="264"/>
      <c r="F57" s="265">
        <v>491</v>
      </c>
      <c r="G57" s="264"/>
      <c r="H57" s="264">
        <v>13</v>
      </c>
      <c r="I57" s="264"/>
      <c r="J57" s="264">
        <v>0</v>
      </c>
      <c r="K57" s="264"/>
      <c r="L57" s="264">
        <v>0</v>
      </c>
      <c r="M57" s="264"/>
      <c r="N57" s="265">
        <f>+F57-H57</f>
        <v>478</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121731</v>
      </c>
      <c r="G59" s="264"/>
      <c r="H59" s="264">
        <f>SUM(H56:H58)</f>
        <v>6808</v>
      </c>
      <c r="I59" s="264"/>
      <c r="J59" s="264">
        <f>SUM(J56:J58)</f>
        <v>1991</v>
      </c>
      <c r="K59" s="264"/>
      <c r="L59" s="264">
        <f>SUM(L56:L58)</f>
        <v>0</v>
      </c>
      <c r="M59" s="264"/>
      <c r="N59" s="264">
        <f>SUM(N56:N58)</f>
        <v>116914</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-491</v>
      </c>
      <c r="G68" s="264"/>
      <c r="H68" s="264"/>
      <c r="I68" s="264"/>
      <c r="J68" s="264"/>
      <c r="K68" s="264"/>
      <c r="L68" s="264"/>
      <c r="M68" s="264"/>
      <c r="N68" s="265">
        <f>-N57</f>
        <v>-478</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121240</v>
      </c>
      <c r="G72" s="264"/>
      <c r="H72" s="264"/>
      <c r="I72" s="264"/>
      <c r="J72" s="264"/>
      <c r="K72" s="264"/>
      <c r="L72" s="264"/>
      <c r="M72" s="264"/>
      <c r="N72" s="264">
        <f>SUM(N59:N71)</f>
        <v>116436</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67" t="s">
        <v>25</v>
      </c>
      <c r="C75" s="367"/>
      <c r="D75" s="368" t="s">
        <v>92</v>
      </c>
      <c r="E75" s="369"/>
      <c r="F75" s="370">
        <f>+L183</f>
        <v>40326</v>
      </c>
      <c r="G75" s="369"/>
      <c r="H75" s="369"/>
      <c r="I75" s="369"/>
      <c r="J75" s="369"/>
      <c r="K75" s="369"/>
      <c r="L75" s="369" t="s">
        <v>105</v>
      </c>
      <c r="M75" s="369"/>
      <c r="N75" s="36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6795+17</f>
        <v>6812</v>
      </c>
      <c r="M77" s="263"/>
      <c r="N77" s="265"/>
      <c r="O77" s="266"/>
      <c r="P77" s="5"/>
    </row>
    <row r="78" spans="1:16" ht="15.6" x14ac:dyDescent="0.3">
      <c r="A78" s="262"/>
      <c r="B78" s="263" t="s">
        <v>176</v>
      </c>
      <c r="C78" s="263"/>
      <c r="D78" s="300"/>
      <c r="E78" s="263"/>
      <c r="F78" s="309"/>
      <c r="G78" s="263"/>
      <c r="H78" s="263"/>
      <c r="I78" s="263"/>
      <c r="J78" s="263"/>
      <c r="K78" s="263"/>
      <c r="L78" s="264"/>
      <c r="M78" s="263"/>
      <c r="N78" s="265">
        <f>2979+167+1423-3482-82-693</f>
        <v>312</v>
      </c>
      <c r="O78" s="266"/>
      <c r="P78" s="5"/>
    </row>
    <row r="79" spans="1:16" ht="15.6" x14ac:dyDescent="0.3">
      <c r="A79" s="262"/>
      <c r="B79" s="263" t="s">
        <v>174</v>
      </c>
      <c r="C79" s="263"/>
      <c r="D79" s="300"/>
      <c r="E79" s="263"/>
      <c r="F79" s="309"/>
      <c r="G79" s="263"/>
      <c r="H79" s="263"/>
      <c r="I79" s="263"/>
      <c r="J79" s="263"/>
      <c r="K79" s="263"/>
      <c r="L79" s="264"/>
      <c r="M79" s="263"/>
      <c r="N79" s="265">
        <f>71+5+22</f>
        <v>98</v>
      </c>
      <c r="O79" s="266"/>
      <c r="P79" s="5"/>
    </row>
    <row r="80" spans="1:16" ht="15.6" x14ac:dyDescent="0.3">
      <c r="A80" s="262"/>
      <c r="B80" s="263" t="s">
        <v>175</v>
      </c>
      <c r="C80" s="263"/>
      <c r="D80" s="300"/>
      <c r="E80" s="263"/>
      <c r="F80" s="309"/>
      <c r="G80" s="263"/>
      <c r="H80" s="263"/>
      <c r="I80" s="263"/>
      <c r="J80" s="263"/>
      <c r="K80" s="263"/>
      <c r="L80" s="264"/>
      <c r="M80" s="263"/>
      <c r="N80" s="265">
        <v>4</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6812</v>
      </c>
      <c r="M83" s="263"/>
      <c r="N83" s="264">
        <f>SUM(N76:N82)</f>
        <v>414</v>
      </c>
      <c r="O83" s="266"/>
      <c r="P83" s="5"/>
    </row>
    <row r="84" spans="1:17" ht="15.6" x14ac:dyDescent="0.3">
      <c r="A84" s="262"/>
      <c r="B84" s="263" t="s">
        <v>148</v>
      </c>
      <c r="C84" s="263"/>
      <c r="D84" s="263"/>
      <c r="E84" s="263"/>
      <c r="F84" s="263"/>
      <c r="G84" s="263"/>
      <c r="H84" s="263"/>
      <c r="I84" s="263"/>
      <c r="J84" s="263"/>
      <c r="K84" s="263"/>
      <c r="L84" s="264">
        <v>-1367</v>
      </c>
      <c r="M84" s="263"/>
      <c r="N84" s="264">
        <f>-L84</f>
        <v>1367</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5445</v>
      </c>
      <c r="M87" s="263"/>
      <c r="N87" s="264">
        <f>N83+N85+N84+N86</f>
        <v>1781</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-46-1-6</f>
        <v>-53</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-220</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-8</v>
      </c>
      <c r="O95" s="266"/>
      <c r="P95" s="5"/>
      <c r="Q95" s="104"/>
    </row>
    <row r="96" spans="1:17" ht="15.6" x14ac:dyDescent="0.3">
      <c r="A96" s="274" t="s">
        <v>170</v>
      </c>
      <c r="B96" s="263" t="s">
        <v>216</v>
      </c>
      <c r="C96" s="263"/>
      <c r="D96" s="263"/>
      <c r="E96" s="263"/>
      <c r="F96" s="263"/>
      <c r="G96" s="263"/>
      <c r="H96" s="263"/>
      <c r="I96" s="263"/>
      <c r="J96" s="263"/>
      <c r="K96" s="263"/>
      <c r="L96" s="263"/>
      <c r="M96" s="263"/>
      <c r="N96" s="265">
        <v>-8</v>
      </c>
      <c r="O96" s="266"/>
      <c r="P96" s="5"/>
      <c r="Q96" s="104"/>
    </row>
    <row r="97" spans="1:16" ht="15.6" x14ac:dyDescent="0.3">
      <c r="A97" s="274">
        <v>7</v>
      </c>
      <c r="B97" s="263" t="s">
        <v>33</v>
      </c>
      <c r="C97" s="263"/>
      <c r="D97" s="263"/>
      <c r="E97" s="263"/>
      <c r="F97" s="263"/>
      <c r="G97" s="263"/>
      <c r="H97" s="263"/>
      <c r="I97" s="263"/>
      <c r="J97" s="263"/>
      <c r="K97" s="263"/>
      <c r="L97" s="263"/>
      <c r="M97" s="263"/>
      <c r="N97" s="265">
        <v>-9</v>
      </c>
      <c r="O97" s="266"/>
      <c r="P97" s="5"/>
    </row>
    <row r="98" spans="1:16" ht="15.6" x14ac:dyDescent="0.3">
      <c r="A98" s="274">
        <f t="shared" ref="A98:A104" si="0">+A97+1</f>
        <v>8</v>
      </c>
      <c r="B98" s="263" t="s">
        <v>42</v>
      </c>
      <c r="C98" s="263"/>
      <c r="D98" s="263"/>
      <c r="E98" s="263"/>
      <c r="F98" s="263"/>
      <c r="G98" s="263"/>
      <c r="H98" s="263"/>
      <c r="I98" s="263"/>
      <c r="J98" s="263"/>
      <c r="K98" s="263"/>
      <c r="L98" s="264">
        <f>-N98</f>
        <v>-17</v>
      </c>
      <c r="M98" s="263"/>
      <c r="N98" s="265">
        <v>17</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-46</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-1451</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-624</v>
      </c>
      <c r="M107" s="264"/>
      <c r="N107" s="265"/>
      <c r="O107" s="266"/>
      <c r="P107" s="5"/>
    </row>
    <row r="108" spans="1:16" ht="15.6" x14ac:dyDescent="0.3">
      <c r="A108" s="274"/>
      <c r="B108" s="263" t="s">
        <v>200</v>
      </c>
      <c r="C108" s="263"/>
      <c r="D108" s="263"/>
      <c r="E108" s="263"/>
      <c r="F108" s="263"/>
      <c r="G108" s="263"/>
      <c r="H108" s="263"/>
      <c r="I108" s="263"/>
      <c r="J108" s="263"/>
      <c r="K108" s="263"/>
      <c r="L108" s="264">
        <v>-4516</v>
      </c>
      <c r="M108" s="264"/>
      <c r="N108" s="265"/>
      <c r="O108" s="266"/>
      <c r="P108" s="5"/>
    </row>
    <row r="109" spans="1:16" ht="15.6" x14ac:dyDescent="0.3">
      <c r="A109" s="274"/>
      <c r="B109" s="263" t="s">
        <v>201</v>
      </c>
      <c r="C109" s="263"/>
      <c r="D109" s="263"/>
      <c r="E109" s="263"/>
      <c r="F109" s="263"/>
      <c r="G109" s="263"/>
      <c r="H109" s="263"/>
      <c r="I109" s="263"/>
      <c r="J109" s="263"/>
      <c r="K109" s="263"/>
      <c r="L109" s="264">
        <v>-144</v>
      </c>
      <c r="M109" s="264"/>
      <c r="N109" s="265"/>
      <c r="O109" s="266"/>
      <c r="P109" s="5"/>
    </row>
    <row r="110" spans="1:16" ht="15.6" x14ac:dyDescent="0.3">
      <c r="A110" s="274"/>
      <c r="B110" s="263" t="s">
        <v>202</v>
      </c>
      <c r="C110" s="263"/>
      <c r="D110" s="263"/>
      <c r="E110" s="263"/>
      <c r="F110" s="263"/>
      <c r="G110" s="263"/>
      <c r="H110" s="263"/>
      <c r="I110" s="263"/>
      <c r="J110" s="263"/>
      <c r="K110" s="263"/>
      <c r="L110" s="264">
        <v>-144</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-5428</v>
      </c>
      <c r="M111" s="264"/>
      <c r="N111" s="264">
        <f>SUM(N88:N109)</f>
        <v>-1781</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MAY 2010</v>
      </c>
      <c r="C115" s="243"/>
      <c r="D115" s="243"/>
      <c r="E115" s="243"/>
      <c r="F115" s="243"/>
      <c r="G115" s="243"/>
      <c r="H115" s="243"/>
      <c r="I115" s="243"/>
      <c r="J115" s="243"/>
      <c r="K115" s="243"/>
      <c r="L115" s="243"/>
      <c r="M115" s="243"/>
      <c r="N115" s="247"/>
      <c r="O115" s="245"/>
      <c r="P115" s="5"/>
    </row>
    <row r="116" spans="1:17" ht="15.6" x14ac:dyDescent="0.3">
      <c r="A116" s="371"/>
      <c r="B116" s="374"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f>L98</f>
        <v>-17</v>
      </c>
      <c r="O144" s="266"/>
      <c r="P144" s="5"/>
    </row>
    <row r="145" spans="1:256" ht="15.6" x14ac:dyDescent="0.3">
      <c r="A145" s="262"/>
      <c r="B145" s="263" t="s">
        <v>51</v>
      </c>
      <c r="C145" s="263"/>
      <c r="D145" s="263"/>
      <c r="E145" s="263"/>
      <c r="F145" s="263"/>
      <c r="G145" s="263"/>
      <c r="H145" s="263"/>
      <c r="I145" s="263"/>
      <c r="J145" s="263"/>
      <c r="K145" s="263"/>
      <c r="L145" s="263"/>
      <c r="M145" s="263"/>
      <c r="N145" s="265">
        <f>N144+N143</f>
        <v>-17</v>
      </c>
      <c r="O145" s="266"/>
      <c r="P145" s="5"/>
    </row>
    <row r="146" spans="1:256" ht="15.6" x14ac:dyDescent="0.3">
      <c r="A146" s="262"/>
      <c r="B146" s="263" t="s">
        <v>264</v>
      </c>
      <c r="C146" s="263"/>
      <c r="D146" s="263"/>
      <c r="E146" s="263"/>
      <c r="F146" s="263"/>
      <c r="G146" s="263"/>
      <c r="H146" s="263"/>
      <c r="I146" s="263"/>
      <c r="J146" s="263"/>
      <c r="K146" s="263"/>
      <c r="L146" s="263"/>
      <c r="M146" s="263"/>
      <c r="N146" s="265">
        <f>N98</f>
        <v>17</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116436</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116436</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+'Feb 10'!N162</f>
        <v>491</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13</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478</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+'Feb 10'!L169</f>
        <v>11406</v>
      </c>
      <c r="M166" s="263"/>
      <c r="N166" s="265">
        <f>K166+L166</f>
        <v>11406</v>
      </c>
      <c r="O166" s="266"/>
      <c r="P166" s="5"/>
    </row>
    <row r="167" spans="1:256" ht="15.6" x14ac:dyDescent="0.3">
      <c r="A167" s="262"/>
      <c r="B167" s="263" t="s">
        <v>58</v>
      </c>
      <c r="C167" s="263"/>
      <c r="D167" s="263"/>
      <c r="E167" s="263"/>
      <c r="F167" s="263"/>
      <c r="G167" s="263"/>
      <c r="H167" s="263"/>
      <c r="I167" s="263"/>
      <c r="J167" s="263"/>
      <c r="K167" s="264">
        <v>0</v>
      </c>
      <c r="L167" s="264">
        <f>-L107</f>
        <v>624</v>
      </c>
      <c r="M167" s="263"/>
      <c r="N167" s="265">
        <f>K167+L167</f>
        <v>624</v>
      </c>
      <c r="O167" s="266"/>
      <c r="P167" s="5"/>
    </row>
    <row r="168" spans="1:256" ht="15.6" x14ac:dyDescent="0.3">
      <c r="A168" s="262"/>
      <c r="B168" s="263" t="s">
        <v>59</v>
      </c>
      <c r="C168" s="263"/>
      <c r="D168" s="263"/>
      <c r="E168" s="263"/>
      <c r="F168" s="263"/>
      <c r="G168" s="263"/>
      <c r="H168" s="263"/>
      <c r="I168" s="263"/>
      <c r="J168" s="263"/>
      <c r="K168" s="265">
        <f>K166+K167</f>
        <v>0</v>
      </c>
      <c r="L168" s="265">
        <f>L167+L166</f>
        <v>12030</v>
      </c>
      <c r="M168" s="263"/>
      <c r="N168" s="265">
        <f>K168+L168</f>
        <v>12030</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7.8454545454545457</v>
      </c>
      <c r="O173" s="266" t="s">
        <v>115</v>
      </c>
      <c r="P173" s="5"/>
    </row>
    <row r="174" spans="1:256" ht="15.6" x14ac:dyDescent="0.3">
      <c r="A174" s="262"/>
      <c r="B174" s="263" t="s">
        <v>63</v>
      </c>
      <c r="C174" s="263"/>
      <c r="D174" s="263"/>
      <c r="E174" s="263"/>
      <c r="F174" s="263"/>
      <c r="G174" s="263"/>
      <c r="H174" s="263"/>
      <c r="I174" s="263"/>
      <c r="J174" s="263"/>
      <c r="K174" s="263"/>
      <c r="L174" s="263"/>
      <c r="M174" s="263"/>
      <c r="N174" s="315">
        <v>1.69</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188.25</v>
      </c>
      <c r="O175" s="266" t="s">
        <v>115</v>
      </c>
      <c r="P175" s="5"/>
    </row>
    <row r="176" spans="1:256" ht="15.6" x14ac:dyDescent="0.3">
      <c r="A176" s="262"/>
      <c r="B176" s="263" t="s">
        <v>65</v>
      </c>
      <c r="C176" s="263"/>
      <c r="D176" s="263"/>
      <c r="E176" s="263"/>
      <c r="F176" s="263"/>
      <c r="G176" s="263"/>
      <c r="H176" s="263"/>
      <c r="I176" s="263"/>
      <c r="J176" s="263"/>
      <c r="K176" s="263"/>
      <c r="L176" s="263"/>
      <c r="M176" s="263"/>
      <c r="N176" s="315">
        <v>32.26</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187.25</v>
      </c>
      <c r="O177" s="266" t="s">
        <v>115</v>
      </c>
      <c r="P177" s="5"/>
    </row>
    <row r="178" spans="1:16" ht="15.6" x14ac:dyDescent="0.3">
      <c r="A178" s="262"/>
      <c r="B178" s="263" t="s">
        <v>167</v>
      </c>
      <c r="C178" s="263"/>
      <c r="D178" s="263"/>
      <c r="E178" s="263"/>
      <c r="F178" s="263"/>
      <c r="G178" s="263"/>
      <c r="H178" s="263"/>
      <c r="I178" s="263"/>
      <c r="J178" s="263"/>
      <c r="K178" s="263"/>
      <c r="L178" s="263"/>
      <c r="M178" s="263"/>
      <c r="N178" s="315">
        <v>30.5</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MAY 2010</v>
      </c>
      <c r="C182" s="250"/>
      <c r="D182" s="250"/>
      <c r="E182" s="250"/>
      <c r="F182" s="250"/>
      <c r="G182" s="250"/>
      <c r="H182" s="250"/>
      <c r="I182" s="250"/>
      <c r="J182" s="250"/>
      <c r="K182" s="250"/>
      <c r="L182" s="250"/>
      <c r="M182" s="250"/>
      <c r="N182" s="250"/>
      <c r="O182" s="251"/>
      <c r="P182" s="5"/>
    </row>
    <row r="183" spans="1:16" ht="15.6" x14ac:dyDescent="0.3">
      <c r="A183" s="371"/>
      <c r="B183" s="374" t="s">
        <v>66</v>
      </c>
      <c r="C183" s="375"/>
      <c r="D183" s="376"/>
      <c r="E183" s="376"/>
      <c r="F183" s="376"/>
      <c r="G183" s="376"/>
      <c r="H183" s="376"/>
      <c r="I183" s="376"/>
      <c r="J183" s="376"/>
      <c r="K183" s="376"/>
      <c r="L183" s="376">
        <v>40326</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5.3490000000000003E-2</v>
      </c>
      <c r="M188" s="263"/>
      <c r="N188" s="263"/>
      <c r="O188" s="266"/>
      <c r="P188" s="5"/>
    </row>
    <row r="189" spans="1:16" ht="15.6" x14ac:dyDescent="0.3">
      <c r="A189" s="321"/>
      <c r="B189" s="263" t="s">
        <v>212</v>
      </c>
      <c r="C189" s="322"/>
      <c r="D189" s="303"/>
      <c r="E189" s="303"/>
      <c r="F189" s="303"/>
      <c r="G189" s="303"/>
      <c r="H189" s="303"/>
      <c r="I189" s="303"/>
      <c r="J189" s="303"/>
      <c r="K189" s="303"/>
      <c r="L189" s="297">
        <f>N34</f>
        <v>7.7159989499735087E-3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4.5774001050026492E-2</v>
      </c>
      <c r="M190" s="263"/>
      <c r="N190" s="263"/>
      <c r="O190" s="266"/>
      <c r="P190" s="5"/>
    </row>
    <row r="191" spans="1:16" ht="15.6" x14ac:dyDescent="0.3">
      <c r="A191" s="321"/>
      <c r="B191" s="263" t="s">
        <v>203</v>
      </c>
      <c r="C191" s="322"/>
      <c r="D191" s="303"/>
      <c r="E191" s="303"/>
      <c r="F191" s="303"/>
      <c r="G191" s="303"/>
      <c r="H191" s="303"/>
      <c r="I191" s="303"/>
      <c r="J191" s="303"/>
      <c r="K191" s="303"/>
      <c r="L191" s="297">
        <f>+N87/F59</f>
        <v>1.4630619973548233E-2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6.44</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5.6045859452325965E-2</v>
      </c>
      <c r="M197" s="263"/>
      <c r="N197" s="263"/>
      <c r="O197" s="266"/>
      <c r="P197" s="5"/>
    </row>
    <row r="198" spans="1:16" ht="15.6" x14ac:dyDescent="0.3">
      <c r="A198" s="321"/>
      <c r="B198" s="263" t="s">
        <v>74</v>
      </c>
      <c r="C198" s="322"/>
      <c r="D198" s="303"/>
      <c r="E198" s="303"/>
      <c r="F198" s="303"/>
      <c r="G198" s="303"/>
      <c r="H198" s="303"/>
      <c r="I198" s="303"/>
      <c r="J198" s="303"/>
      <c r="K198" s="303"/>
      <c r="L198" s="297">
        <v>0.27929999999999999</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67" t="s">
        <v>75</v>
      </c>
      <c r="C200" s="369"/>
      <c r="D200" s="369"/>
      <c r="E200" s="369"/>
      <c r="F200" s="369"/>
      <c r="G200" s="369"/>
      <c r="H200" s="369"/>
      <c r="I200" s="369"/>
      <c r="J200" s="369"/>
      <c r="K200" s="369" t="s">
        <v>99</v>
      </c>
      <c r="L200" s="378" t="s">
        <v>106</v>
      </c>
      <c r="M200" s="361"/>
      <c r="N200" s="361"/>
      <c r="O200" s="361"/>
      <c r="P200" s="5"/>
    </row>
    <row r="201" spans="1:16" ht="15.6" x14ac:dyDescent="0.3">
      <c r="A201" s="330"/>
      <c r="B201" s="263" t="s">
        <v>76</v>
      </c>
      <c r="C201" s="264"/>
      <c r="D201" s="276"/>
      <c r="E201" s="276"/>
      <c r="F201" s="276"/>
      <c r="G201" s="276"/>
      <c r="H201" s="276"/>
      <c r="I201" s="276"/>
      <c r="J201" s="276"/>
      <c r="K201" s="276">
        <v>11</v>
      </c>
      <c r="L201" s="331">
        <v>962</v>
      </c>
      <c r="M201" s="263"/>
      <c r="N201" s="332"/>
      <c r="O201" s="333"/>
      <c r="P201" s="5"/>
    </row>
    <row r="202" spans="1:16" ht="15.6" x14ac:dyDescent="0.3">
      <c r="A202" s="330"/>
      <c r="B202" s="263" t="s">
        <v>136</v>
      </c>
      <c r="C202" s="264"/>
      <c r="D202" s="276"/>
      <c r="E202" s="276"/>
      <c r="F202" s="276"/>
      <c r="G202" s="276"/>
      <c r="H202" s="276"/>
      <c r="I202" s="276"/>
      <c r="J202" s="276"/>
      <c r="K202" s="334">
        <f>+J252</f>
        <v>0</v>
      </c>
      <c r="L202" s="331">
        <f>+L252</f>
        <v>0</v>
      </c>
      <c r="M202" s="263"/>
      <c r="N202" s="332"/>
      <c r="O202" s="333"/>
      <c r="P202" s="5"/>
    </row>
    <row r="203" spans="1:16" ht="15.6" x14ac:dyDescent="0.3">
      <c r="A203" s="330"/>
      <c r="B203" s="263" t="s">
        <v>77</v>
      </c>
      <c r="C203" s="264"/>
      <c r="D203" s="276"/>
      <c r="E203" s="276"/>
      <c r="F203" s="276"/>
      <c r="G203" s="276"/>
      <c r="H203" s="276"/>
      <c r="I203" s="276"/>
      <c r="J203" s="276"/>
      <c r="K203" s="334">
        <f>+J269</f>
        <v>4</v>
      </c>
      <c r="L203" s="331">
        <f>+L269</f>
        <v>202</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72" t="s">
        <v>81</v>
      </c>
      <c r="C207" s="272"/>
      <c r="D207" s="272"/>
      <c r="E207" s="272"/>
      <c r="F207" s="272"/>
      <c r="G207" s="272"/>
      <c r="H207" s="272"/>
      <c r="I207" s="272"/>
      <c r="J207" s="272"/>
      <c r="K207" s="343"/>
      <c r="L207" s="344">
        <f>N144</f>
        <v>-17</v>
      </c>
      <c r="M207" s="291"/>
      <c r="N207" s="337"/>
      <c r="O207" s="342"/>
      <c r="P207" s="5"/>
    </row>
    <row r="208" spans="1:16" ht="15.6" x14ac:dyDescent="0.3">
      <c r="A208" s="330"/>
      <c r="B208" s="272" t="s">
        <v>82</v>
      </c>
      <c r="C208" s="345"/>
      <c r="D208" s="272"/>
      <c r="E208" s="272"/>
      <c r="F208" s="272"/>
      <c r="G208" s="272"/>
      <c r="H208" s="272"/>
      <c r="I208" s="272"/>
      <c r="J208" s="272"/>
      <c r="K208" s="343"/>
      <c r="L208" s="344">
        <f>'Feb 10'!L209+L207</f>
        <v>37</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2</v>
      </c>
      <c r="L210" s="331">
        <v>71</v>
      </c>
      <c r="M210" s="291"/>
      <c r="N210" s="337"/>
      <c r="O210" s="342"/>
      <c r="P210" s="5"/>
    </row>
    <row r="211" spans="1:17" ht="15.6" x14ac:dyDescent="0.3">
      <c r="A211" s="347"/>
      <c r="B211" s="263" t="s">
        <v>83</v>
      </c>
      <c r="C211" s="300"/>
      <c r="D211" s="263"/>
      <c r="E211" s="263"/>
      <c r="F211" s="263"/>
      <c r="G211" s="263"/>
      <c r="H211" s="263"/>
      <c r="I211" s="263"/>
      <c r="J211" s="263"/>
      <c r="K211" s="263"/>
      <c r="L211" s="339">
        <v>12.24</v>
      </c>
      <c r="M211" s="291"/>
      <c r="N211" s="337"/>
      <c r="O211" s="342"/>
      <c r="P211" s="5"/>
    </row>
    <row r="212" spans="1:17" ht="15.6" x14ac:dyDescent="0.3">
      <c r="A212" s="347"/>
      <c r="B212" s="263" t="s">
        <v>84</v>
      </c>
      <c r="C212" s="300"/>
      <c r="D212" s="263"/>
      <c r="E212" s="263"/>
      <c r="F212" s="263"/>
      <c r="G212" s="263"/>
      <c r="H212" s="263"/>
      <c r="I212" s="263"/>
      <c r="J212" s="263"/>
      <c r="K212" s="263"/>
      <c r="L212" s="339">
        <v>5.47</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1</v>
      </c>
      <c r="L214" s="331">
        <v>108</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5.6" x14ac:dyDescent="0.3">
      <c r="A219" s="324"/>
      <c r="B219" s="325"/>
      <c r="C219" s="326"/>
      <c r="D219" s="216"/>
      <c r="E219" s="216"/>
      <c r="F219" s="216"/>
      <c r="G219" s="216"/>
      <c r="H219" s="216"/>
      <c r="I219" s="216"/>
      <c r="J219" s="216"/>
      <c r="K219" s="216"/>
      <c r="L219" s="327"/>
      <c r="M219" s="216"/>
      <c r="N219" s="328"/>
      <c r="O219" s="329"/>
      <c r="P219" s="5"/>
    </row>
    <row r="220" spans="1:17" ht="15.6" x14ac:dyDescent="0.3">
      <c r="A220" s="360"/>
      <c r="B220" s="367" t="s">
        <v>149</v>
      </c>
      <c r="C220" s="369"/>
      <c r="D220" s="369"/>
      <c r="E220" s="369"/>
      <c r="F220" s="369"/>
      <c r="G220" s="369"/>
      <c r="H220" s="369"/>
      <c r="I220" s="369"/>
      <c r="J220" s="382" t="s">
        <v>99</v>
      </c>
      <c r="K220" s="369" t="s">
        <v>100</v>
      </c>
      <c r="L220" s="378" t="s">
        <v>108</v>
      </c>
      <c r="M220" s="369" t="s">
        <v>100</v>
      </c>
      <c r="N220" s="361"/>
      <c r="O220" s="367"/>
      <c r="P220" s="5"/>
    </row>
    <row r="221" spans="1:17" ht="15.6" x14ac:dyDescent="0.3">
      <c r="A221" s="262"/>
      <c r="B221" s="264" t="s">
        <v>85</v>
      </c>
      <c r="C221" s="354"/>
      <c r="D221" s="354"/>
      <c r="E221" s="354"/>
      <c r="F221" s="354"/>
      <c r="G221" s="354"/>
      <c r="H221" s="354"/>
      <c r="I221" s="354"/>
      <c r="J221" s="264">
        <v>2678</v>
      </c>
      <c r="K221" s="355">
        <f t="shared" ref="K221:K233" si="1">J221/$J$235</f>
        <v>0.93899018232819076</v>
      </c>
      <c r="L221" s="265">
        <v>104840</v>
      </c>
      <c r="M221" s="355">
        <f t="shared" ref="M221:M233" si="2">L221/$L$235</f>
        <v>0.90197360496928614</v>
      </c>
      <c r="N221" s="332"/>
      <c r="O221" s="356"/>
      <c r="P221" s="5"/>
    </row>
    <row r="222" spans="1:17" ht="15.6" x14ac:dyDescent="0.3">
      <c r="A222" s="262"/>
      <c r="B222" s="264" t="s">
        <v>86</v>
      </c>
      <c r="C222" s="354"/>
      <c r="D222" s="354"/>
      <c r="E222" s="354"/>
      <c r="F222" s="354"/>
      <c r="G222" s="354"/>
      <c r="H222" s="354"/>
      <c r="I222" s="354"/>
      <c r="J222" s="264">
        <v>63</v>
      </c>
      <c r="K222" s="355">
        <f t="shared" si="1"/>
        <v>2.2089761570827489E-2</v>
      </c>
      <c r="L222" s="265">
        <v>3816</v>
      </c>
      <c r="M222" s="355">
        <f t="shared" si="2"/>
        <v>3.2830325033983171E-2</v>
      </c>
      <c r="N222" s="332"/>
      <c r="O222" s="356"/>
      <c r="P222" s="5"/>
      <c r="Q222" s="104"/>
    </row>
    <row r="223" spans="1:17" ht="15.6" x14ac:dyDescent="0.3">
      <c r="A223" s="262"/>
      <c r="B223" s="264" t="s">
        <v>87</v>
      </c>
      <c r="C223" s="354"/>
      <c r="D223" s="354"/>
      <c r="E223" s="354"/>
      <c r="F223" s="354"/>
      <c r="G223" s="354"/>
      <c r="H223" s="354"/>
      <c r="I223" s="354"/>
      <c r="J223" s="264">
        <v>25</v>
      </c>
      <c r="K223" s="355">
        <f t="shared" si="1"/>
        <v>8.7657784011220194E-3</v>
      </c>
      <c r="L223" s="265">
        <v>1435</v>
      </c>
      <c r="M223" s="355">
        <f t="shared" si="2"/>
        <v>1.2345785226353734E-2</v>
      </c>
      <c r="N223" s="332"/>
      <c r="O223" s="356"/>
      <c r="P223" s="5"/>
    </row>
    <row r="224" spans="1:17" ht="15.6" x14ac:dyDescent="0.3">
      <c r="A224" s="262"/>
      <c r="B224" s="264" t="s">
        <v>145</v>
      </c>
      <c r="C224" s="354"/>
      <c r="D224" s="354"/>
      <c r="E224" s="354"/>
      <c r="F224" s="354"/>
      <c r="G224" s="354"/>
      <c r="H224" s="354"/>
      <c r="I224" s="354"/>
      <c r="J224" s="264">
        <v>25</v>
      </c>
      <c r="K224" s="355">
        <f t="shared" si="1"/>
        <v>8.7657784011220194E-3</v>
      </c>
      <c r="L224" s="265">
        <v>1520</v>
      </c>
      <c r="M224" s="355">
        <f t="shared" si="2"/>
        <v>1.3077068671817196E-2</v>
      </c>
      <c r="N224" s="332"/>
      <c r="O224" s="356"/>
      <c r="P224" s="5"/>
      <c r="Q224" s="104"/>
    </row>
    <row r="225" spans="1:17" ht="15.6" x14ac:dyDescent="0.3">
      <c r="A225" s="262"/>
      <c r="B225" s="264" t="s">
        <v>146</v>
      </c>
      <c r="C225" s="354"/>
      <c r="D225" s="354"/>
      <c r="E225" s="354"/>
      <c r="F225" s="354"/>
      <c r="G225" s="354"/>
      <c r="H225" s="354"/>
      <c r="I225" s="354"/>
      <c r="J225" s="264">
        <v>12</v>
      </c>
      <c r="K225" s="355">
        <f t="shared" si="1"/>
        <v>4.2075736325385693E-3</v>
      </c>
      <c r="L225" s="265">
        <v>610</v>
      </c>
      <c r="M225" s="355">
        <f t="shared" si="2"/>
        <v>5.2480341380319014E-3</v>
      </c>
      <c r="N225" s="332"/>
      <c r="O225" s="356"/>
      <c r="P225" s="5"/>
    </row>
    <row r="226" spans="1:17" ht="15.6" x14ac:dyDescent="0.3">
      <c r="A226" s="262"/>
      <c r="B226" s="264" t="s">
        <v>147</v>
      </c>
      <c r="C226" s="354"/>
      <c r="D226" s="354"/>
      <c r="E226" s="354"/>
      <c r="F226" s="354"/>
      <c r="G226" s="354"/>
      <c r="H226" s="354"/>
      <c r="I226" s="354"/>
      <c r="J226" s="264">
        <v>8</v>
      </c>
      <c r="K226" s="355">
        <f t="shared" si="1"/>
        <v>2.8050490883590462E-3</v>
      </c>
      <c r="L226" s="265">
        <v>594</v>
      </c>
      <c r="M226" s="355">
        <f t="shared" si="2"/>
        <v>5.1103807835917205E-3</v>
      </c>
      <c r="N226" s="332"/>
      <c r="O226" s="356"/>
      <c r="P226" s="5"/>
      <c r="Q226" s="104"/>
    </row>
    <row r="227" spans="1:17" ht="15.6" x14ac:dyDescent="0.3">
      <c r="A227" s="262"/>
      <c r="B227" s="264" t="s">
        <v>227</v>
      </c>
      <c r="C227" s="354"/>
      <c r="D227" s="354"/>
      <c r="E227" s="354"/>
      <c r="F227" s="354"/>
      <c r="G227" s="354"/>
      <c r="H227" s="354"/>
      <c r="I227" s="354"/>
      <c r="J227" s="264">
        <v>21</v>
      </c>
      <c r="K227" s="355">
        <f t="shared" si="1"/>
        <v>7.3632538569424963E-3</v>
      </c>
      <c r="L227" s="265">
        <v>1046</v>
      </c>
      <c r="M227" s="355">
        <f t="shared" si="2"/>
        <v>8.9990880465268333E-3</v>
      </c>
      <c r="N227" s="332"/>
      <c r="O227" s="356"/>
      <c r="P227" s="5"/>
    </row>
    <row r="228" spans="1:17" ht="15.6" x14ac:dyDescent="0.3">
      <c r="A228" s="262"/>
      <c r="B228" s="264" t="s">
        <v>228</v>
      </c>
      <c r="C228" s="354"/>
      <c r="D228" s="354"/>
      <c r="E228" s="354"/>
      <c r="F228" s="354"/>
      <c r="G228" s="354"/>
      <c r="H228" s="354"/>
      <c r="I228" s="354"/>
      <c r="J228" s="264">
        <v>4</v>
      </c>
      <c r="K228" s="355">
        <f t="shared" si="1"/>
        <v>1.4025245441795231E-3</v>
      </c>
      <c r="L228" s="265">
        <v>376</v>
      </c>
      <c r="M228" s="355">
        <f t="shared" si="2"/>
        <v>3.2348538293442536E-3</v>
      </c>
      <c r="N228" s="332"/>
      <c r="O228" s="356"/>
      <c r="P228" s="5"/>
      <c r="Q228" s="104"/>
    </row>
    <row r="229" spans="1:17" ht="15.6" x14ac:dyDescent="0.3">
      <c r="A229" s="262"/>
      <c r="B229" s="264" t="s">
        <v>229</v>
      </c>
      <c r="C229" s="354"/>
      <c r="D229" s="354"/>
      <c r="E229" s="354"/>
      <c r="F229" s="354"/>
      <c r="G229" s="354"/>
      <c r="H229" s="354"/>
      <c r="I229" s="354"/>
      <c r="J229" s="264">
        <v>8</v>
      </c>
      <c r="K229" s="355">
        <f t="shared" si="1"/>
        <v>2.8050490883590462E-3</v>
      </c>
      <c r="L229" s="265">
        <v>515</v>
      </c>
      <c r="M229" s="355">
        <f t="shared" si="2"/>
        <v>4.4307173460433266E-3</v>
      </c>
      <c r="N229" s="332"/>
      <c r="O229" s="356"/>
      <c r="P229" s="5"/>
      <c r="Q229" s="104"/>
    </row>
    <row r="230" spans="1:17" ht="15.6" x14ac:dyDescent="0.3">
      <c r="A230" s="262"/>
      <c r="B230" s="264" t="s">
        <v>230</v>
      </c>
      <c r="C230" s="354"/>
      <c r="D230" s="354"/>
      <c r="E230" s="354"/>
      <c r="F230" s="354"/>
      <c r="G230" s="354"/>
      <c r="H230" s="354"/>
      <c r="I230" s="354"/>
      <c r="J230" s="264">
        <v>2</v>
      </c>
      <c r="K230" s="355">
        <f t="shared" si="1"/>
        <v>7.0126227208976155E-4</v>
      </c>
      <c r="L230" s="265">
        <v>1030</v>
      </c>
      <c r="M230" s="355">
        <f t="shared" si="2"/>
        <v>8.8614346920866532E-3</v>
      </c>
      <c r="N230" s="332"/>
      <c r="O230" s="356"/>
      <c r="P230" s="5"/>
      <c r="Q230" s="104"/>
    </row>
    <row r="231" spans="1:17" ht="15.6" x14ac:dyDescent="0.3">
      <c r="A231" s="262"/>
      <c r="B231" s="264" t="s">
        <v>231</v>
      </c>
      <c r="C231" s="354"/>
      <c r="D231" s="354"/>
      <c r="E231" s="354"/>
      <c r="F231" s="354"/>
      <c r="G231" s="354"/>
      <c r="H231" s="354"/>
      <c r="I231" s="354"/>
      <c r="J231" s="264">
        <v>2</v>
      </c>
      <c r="K231" s="355">
        <f t="shared" si="1"/>
        <v>7.0126227208976155E-4</v>
      </c>
      <c r="L231" s="265">
        <v>117</v>
      </c>
      <c r="M231" s="355">
        <f t="shared" si="2"/>
        <v>1.0065901543438237E-3</v>
      </c>
      <c r="N231" s="332"/>
      <c r="O231" s="356"/>
      <c r="P231" s="5"/>
      <c r="Q231" s="104"/>
    </row>
    <row r="232" spans="1:17" ht="15.6" x14ac:dyDescent="0.3">
      <c r="A232" s="262"/>
      <c r="B232" s="264" t="s">
        <v>232</v>
      </c>
      <c r="C232" s="354"/>
      <c r="D232" s="354"/>
      <c r="E232" s="354"/>
      <c r="F232" s="354"/>
      <c r="G232" s="354"/>
      <c r="H232" s="354"/>
      <c r="I232" s="354"/>
      <c r="J232" s="264">
        <v>2</v>
      </c>
      <c r="K232" s="355">
        <f t="shared" si="1"/>
        <v>7.0126227208976155E-4</v>
      </c>
      <c r="L232" s="265">
        <v>147</v>
      </c>
      <c r="M232" s="355">
        <f t="shared" si="2"/>
        <v>1.264690193919163E-3</v>
      </c>
      <c r="N232" s="332"/>
      <c r="O232" s="356"/>
      <c r="P232" s="5"/>
      <c r="Q232" s="104"/>
    </row>
    <row r="233" spans="1:17" ht="15.6" x14ac:dyDescent="0.3">
      <c r="A233" s="262"/>
      <c r="B233" s="264" t="s">
        <v>233</v>
      </c>
      <c r="C233" s="354"/>
      <c r="D233" s="354"/>
      <c r="E233" s="354"/>
      <c r="F233" s="354"/>
      <c r="G233" s="354"/>
      <c r="H233" s="354"/>
      <c r="I233" s="354"/>
      <c r="J233" s="264">
        <v>2</v>
      </c>
      <c r="K233" s="355">
        <f t="shared" si="1"/>
        <v>7.0126227208976155E-4</v>
      </c>
      <c r="L233" s="265">
        <v>188</v>
      </c>
      <c r="M233" s="355">
        <f t="shared" si="2"/>
        <v>1.6174269146721268E-3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2852</v>
      </c>
      <c r="K235" s="355">
        <f>SUM(K221:K234)</f>
        <v>1</v>
      </c>
      <c r="L235" s="265">
        <f>SUM(L221:L234)</f>
        <v>116234</v>
      </c>
      <c r="M235" s="355">
        <f>SUM(M221:M234)</f>
        <v>1</v>
      </c>
      <c r="N235" s="263"/>
      <c r="O235" s="266"/>
      <c r="P235" s="5"/>
    </row>
    <row r="236" spans="1:17" ht="15.6" x14ac:dyDescent="0.3">
      <c r="A236" s="188"/>
      <c r="B236" s="248"/>
      <c r="C236" s="248"/>
      <c r="D236" s="352"/>
      <c r="E236" s="352"/>
      <c r="F236" s="352"/>
      <c r="G236" s="352"/>
      <c r="H236" s="352"/>
      <c r="I236" s="352"/>
      <c r="J236" s="308"/>
      <c r="K236" s="353"/>
      <c r="L236" s="249"/>
      <c r="M236" s="353"/>
      <c r="N236" s="248"/>
      <c r="O236" s="248"/>
      <c r="P236" s="5"/>
    </row>
    <row r="237" spans="1:17" ht="15.6" x14ac:dyDescent="0.3">
      <c r="A237" s="360"/>
      <c r="B237" s="367" t="s">
        <v>204</v>
      </c>
      <c r="C237" s="369"/>
      <c r="D237" s="369"/>
      <c r="E237" s="369"/>
      <c r="F237" s="369"/>
      <c r="G237" s="369"/>
      <c r="H237" s="369"/>
      <c r="I237" s="369"/>
      <c r="J237" s="382" t="s">
        <v>99</v>
      </c>
      <c r="K237" s="369" t="s">
        <v>100</v>
      </c>
      <c r="L237" s="378" t="s">
        <v>108</v>
      </c>
      <c r="M237" s="369" t="s">
        <v>100</v>
      </c>
      <c r="N237" s="379"/>
      <c r="O237" s="380"/>
      <c r="P237" s="5"/>
    </row>
    <row r="238" spans="1:17" ht="15.6" x14ac:dyDescent="0.3">
      <c r="A238" s="262"/>
      <c r="B238" s="264" t="s">
        <v>85</v>
      </c>
      <c r="C238" s="354"/>
      <c r="D238" s="354"/>
      <c r="E238" s="354"/>
      <c r="F238" s="354"/>
      <c r="G238" s="354"/>
      <c r="H238" s="354"/>
      <c r="I238" s="354"/>
      <c r="J238" s="264">
        <v>0</v>
      </c>
      <c r="K238" s="355">
        <v>0</v>
      </c>
      <c r="L238" s="265">
        <v>0</v>
      </c>
      <c r="M238" s="355">
        <v>0</v>
      </c>
      <c r="N238" s="263"/>
      <c r="O238" s="266"/>
      <c r="P238" s="5"/>
    </row>
    <row r="239" spans="1:17" ht="15.6" x14ac:dyDescent="0.3">
      <c r="A239" s="262"/>
      <c r="B239" s="264" t="s">
        <v>86</v>
      </c>
      <c r="C239" s="354"/>
      <c r="D239" s="354"/>
      <c r="E239" s="354"/>
      <c r="F239" s="354"/>
      <c r="G239" s="354"/>
      <c r="H239" s="354"/>
      <c r="I239" s="354"/>
      <c r="J239" s="264">
        <v>0</v>
      </c>
      <c r="K239" s="355">
        <v>0</v>
      </c>
      <c r="L239" s="265">
        <v>0</v>
      </c>
      <c r="M239" s="355">
        <v>0</v>
      </c>
      <c r="N239" s="263"/>
      <c r="O239" s="266"/>
      <c r="P239" s="5"/>
    </row>
    <row r="240" spans="1:17" ht="15.6" x14ac:dyDescent="0.3">
      <c r="A240" s="262"/>
      <c r="B240" s="264" t="s">
        <v>87</v>
      </c>
      <c r="C240" s="354"/>
      <c r="D240" s="354"/>
      <c r="E240" s="354"/>
      <c r="F240" s="354"/>
      <c r="G240" s="354"/>
      <c r="H240" s="354"/>
      <c r="I240" s="354"/>
      <c r="J240" s="264">
        <v>0</v>
      </c>
      <c r="K240" s="355">
        <v>0</v>
      </c>
      <c r="L240" s="265">
        <v>0</v>
      </c>
      <c r="M240" s="355">
        <v>0</v>
      </c>
      <c r="N240" s="263"/>
      <c r="O240" s="266"/>
      <c r="P240" s="5"/>
    </row>
    <row r="241" spans="1:16" ht="15.6" x14ac:dyDescent="0.3">
      <c r="A241" s="262"/>
      <c r="B241" s="264" t="s">
        <v>145</v>
      </c>
      <c r="C241" s="354"/>
      <c r="D241" s="354"/>
      <c r="E241" s="354"/>
      <c r="F241" s="354"/>
      <c r="G241" s="354"/>
      <c r="H241" s="354"/>
      <c r="I241" s="354"/>
      <c r="J241" s="264">
        <v>0</v>
      </c>
      <c r="K241" s="355">
        <v>0</v>
      </c>
      <c r="L241" s="265">
        <v>0</v>
      </c>
      <c r="M241" s="355">
        <v>0</v>
      </c>
      <c r="N241" s="263"/>
      <c r="O241" s="266"/>
      <c r="P241" s="5"/>
    </row>
    <row r="242" spans="1:16" ht="15.6" x14ac:dyDescent="0.3">
      <c r="A242" s="262"/>
      <c r="B242" s="264" t="s">
        <v>146</v>
      </c>
      <c r="C242" s="354"/>
      <c r="D242" s="354"/>
      <c r="E242" s="354"/>
      <c r="F242" s="354"/>
      <c r="G242" s="354"/>
      <c r="H242" s="354"/>
      <c r="I242" s="354"/>
      <c r="J242" s="264">
        <v>0</v>
      </c>
      <c r="K242" s="355">
        <v>0</v>
      </c>
      <c r="L242" s="265">
        <v>0</v>
      </c>
      <c r="M242" s="355">
        <v>0</v>
      </c>
      <c r="N242" s="263"/>
      <c r="O242" s="266"/>
      <c r="P242" s="5"/>
    </row>
    <row r="243" spans="1:16" ht="15.6" x14ac:dyDescent="0.3">
      <c r="A243" s="262"/>
      <c r="B243" s="264" t="s">
        <v>147</v>
      </c>
      <c r="C243" s="354"/>
      <c r="D243" s="354"/>
      <c r="E243" s="354"/>
      <c r="F243" s="354"/>
      <c r="G243" s="354"/>
      <c r="H243" s="354"/>
      <c r="I243" s="354"/>
      <c r="J243" s="264">
        <v>0</v>
      </c>
      <c r="K243" s="355">
        <v>0</v>
      </c>
      <c r="L243" s="265">
        <v>0</v>
      </c>
      <c r="M243" s="355">
        <v>0</v>
      </c>
      <c r="N243" s="263"/>
      <c r="O243" s="266"/>
      <c r="P243" s="5"/>
    </row>
    <row r="244" spans="1:16" ht="15.6" x14ac:dyDescent="0.3">
      <c r="A244" s="262"/>
      <c r="B244" s="264" t="s">
        <v>227</v>
      </c>
      <c r="C244" s="354"/>
      <c r="D244" s="354"/>
      <c r="E244" s="354"/>
      <c r="F244" s="354"/>
      <c r="G244" s="354"/>
      <c r="H244" s="354"/>
      <c r="I244" s="354"/>
      <c r="J244" s="264">
        <v>0</v>
      </c>
      <c r="K244" s="355">
        <v>0</v>
      </c>
      <c r="L244" s="265">
        <v>0</v>
      </c>
      <c r="M244" s="355">
        <v>0</v>
      </c>
      <c r="N244" s="263"/>
      <c r="O244" s="266"/>
      <c r="P244" s="5"/>
    </row>
    <row r="245" spans="1:16" ht="15.6" x14ac:dyDescent="0.3">
      <c r="A245" s="262"/>
      <c r="B245" s="264" t="s">
        <v>228</v>
      </c>
      <c r="C245" s="354"/>
      <c r="D245" s="354"/>
      <c r="E245" s="354"/>
      <c r="F245" s="354"/>
      <c r="G245" s="354"/>
      <c r="H245" s="354"/>
      <c r="I245" s="354"/>
      <c r="J245" s="264">
        <v>0</v>
      </c>
      <c r="K245" s="355">
        <v>0</v>
      </c>
      <c r="L245" s="265">
        <v>0</v>
      </c>
      <c r="M245" s="355">
        <v>0</v>
      </c>
      <c r="N245" s="263"/>
      <c r="O245" s="266"/>
      <c r="P245" s="5"/>
    </row>
    <row r="246" spans="1:16" ht="15.6" x14ac:dyDescent="0.3">
      <c r="A246" s="262"/>
      <c r="B246" s="264" t="s">
        <v>229</v>
      </c>
      <c r="C246" s="354"/>
      <c r="D246" s="354"/>
      <c r="E246" s="354"/>
      <c r="F246" s="354"/>
      <c r="G246" s="354"/>
      <c r="H246" s="354"/>
      <c r="I246" s="354"/>
      <c r="J246" s="264">
        <v>0</v>
      </c>
      <c r="K246" s="355">
        <v>0</v>
      </c>
      <c r="L246" s="265">
        <v>0</v>
      </c>
      <c r="M246" s="355">
        <v>0</v>
      </c>
      <c r="N246" s="263"/>
      <c r="O246" s="266"/>
      <c r="P246" s="5"/>
    </row>
    <row r="247" spans="1:16" ht="15.6" x14ac:dyDescent="0.3">
      <c r="A247" s="262"/>
      <c r="B247" s="264" t="s">
        <v>230</v>
      </c>
      <c r="C247" s="354"/>
      <c r="D247" s="354"/>
      <c r="E247" s="354"/>
      <c r="F247" s="354"/>
      <c r="G247" s="354"/>
      <c r="H247" s="354"/>
      <c r="I247" s="354"/>
      <c r="J247" s="264">
        <v>0</v>
      </c>
      <c r="K247" s="355">
        <v>0</v>
      </c>
      <c r="L247" s="265">
        <v>0</v>
      </c>
      <c r="M247" s="355">
        <v>0</v>
      </c>
      <c r="N247" s="263"/>
      <c r="O247" s="266"/>
      <c r="P247" s="5"/>
    </row>
    <row r="248" spans="1:16" ht="15.6" x14ac:dyDescent="0.3">
      <c r="A248" s="262"/>
      <c r="B248" s="264" t="s">
        <v>231</v>
      </c>
      <c r="C248" s="354"/>
      <c r="D248" s="354"/>
      <c r="E248" s="354"/>
      <c r="F248" s="354"/>
      <c r="G248" s="354"/>
      <c r="H248" s="354"/>
      <c r="I248" s="354"/>
      <c r="J248" s="264">
        <v>0</v>
      </c>
      <c r="K248" s="355">
        <v>0</v>
      </c>
      <c r="L248" s="265">
        <v>0</v>
      </c>
      <c r="M248" s="355">
        <v>0</v>
      </c>
      <c r="N248" s="263"/>
      <c r="O248" s="266"/>
      <c r="P248" s="5"/>
    </row>
    <row r="249" spans="1:16" ht="15.6" x14ac:dyDescent="0.3">
      <c r="A249" s="262"/>
      <c r="B249" s="264" t="s">
        <v>232</v>
      </c>
      <c r="C249" s="354"/>
      <c r="D249" s="354"/>
      <c r="E249" s="354"/>
      <c r="F249" s="354"/>
      <c r="G249" s="354"/>
      <c r="H249" s="354"/>
      <c r="I249" s="354"/>
      <c r="J249" s="264">
        <v>0</v>
      </c>
      <c r="K249" s="355">
        <v>0</v>
      </c>
      <c r="L249" s="265">
        <v>0</v>
      </c>
      <c r="M249" s="355">
        <v>0</v>
      </c>
      <c r="N249" s="263"/>
      <c r="O249" s="266"/>
      <c r="P249" s="5"/>
    </row>
    <row r="250" spans="1:16" ht="15.6" x14ac:dyDescent="0.3">
      <c r="A250" s="262"/>
      <c r="B250" s="264" t="s">
        <v>233</v>
      </c>
      <c r="C250" s="354"/>
      <c r="D250" s="354"/>
      <c r="E250" s="354"/>
      <c r="F250" s="354"/>
      <c r="G250" s="354"/>
      <c r="H250" s="354"/>
      <c r="I250" s="354"/>
      <c r="J250" s="264">
        <v>0</v>
      </c>
      <c r="K250" s="355">
        <v>0</v>
      </c>
      <c r="L250" s="265">
        <v>0</v>
      </c>
      <c r="M250" s="355">
        <v>0</v>
      </c>
      <c r="N250" s="263"/>
      <c r="O250" s="266"/>
      <c r="P250" s="5"/>
    </row>
    <row r="251" spans="1:16" ht="15.6" x14ac:dyDescent="0.3">
      <c r="A251" s="262"/>
      <c r="B251" s="264"/>
      <c r="C251" s="354"/>
      <c r="D251" s="354"/>
      <c r="E251" s="354"/>
      <c r="F251" s="354"/>
      <c r="G251" s="354"/>
      <c r="H251" s="354"/>
      <c r="I251" s="354"/>
      <c r="J251" s="264"/>
      <c r="K251" s="355"/>
      <c r="L251" s="265"/>
      <c r="M251" s="355"/>
      <c r="N251" s="263"/>
      <c r="O251" s="266"/>
      <c r="P251" s="5"/>
    </row>
    <row r="252" spans="1:16" ht="15.6" x14ac:dyDescent="0.3">
      <c r="A252" s="262"/>
      <c r="B252" s="263"/>
      <c r="C252" s="263"/>
      <c r="D252" s="357"/>
      <c r="E252" s="357"/>
      <c r="F252" s="357"/>
      <c r="G252" s="357"/>
      <c r="H252" s="357"/>
      <c r="I252" s="357"/>
      <c r="J252" s="264">
        <f>SUM(J238:J251)</f>
        <v>0</v>
      </c>
      <c r="K252" s="355">
        <f>SUM(K238:K251)</f>
        <v>0</v>
      </c>
      <c r="L252" s="265">
        <f>SUM(L238:L251)</f>
        <v>0</v>
      </c>
      <c r="M252" s="355">
        <f>SUM(M238:M251)</f>
        <v>0</v>
      </c>
      <c r="N252" s="263"/>
      <c r="O252" s="266"/>
      <c r="P252" s="5"/>
    </row>
    <row r="253" spans="1:16" ht="15.6" x14ac:dyDescent="0.3">
      <c r="A253" s="188"/>
      <c r="B253" s="248"/>
      <c r="C253" s="248"/>
      <c r="D253" s="352"/>
      <c r="E253" s="352"/>
      <c r="F253" s="352"/>
      <c r="G253" s="352"/>
      <c r="H253" s="352"/>
      <c r="I253" s="352"/>
      <c r="J253" s="308"/>
      <c r="K253" s="353"/>
      <c r="L253" s="249"/>
      <c r="M253" s="353"/>
      <c r="N253" s="248"/>
      <c r="O253" s="248"/>
      <c r="P253" s="5"/>
    </row>
    <row r="254" spans="1:16" ht="15.6" x14ac:dyDescent="0.3">
      <c r="A254" s="360"/>
      <c r="B254" s="367" t="s">
        <v>150</v>
      </c>
      <c r="C254" s="379"/>
      <c r="D254" s="381"/>
      <c r="E254" s="381"/>
      <c r="F254" s="381"/>
      <c r="G254" s="381"/>
      <c r="H254" s="381"/>
      <c r="I254" s="381"/>
      <c r="J254" s="382" t="s">
        <v>99</v>
      </c>
      <c r="K254" s="369" t="s">
        <v>100</v>
      </c>
      <c r="L254" s="378" t="s">
        <v>108</v>
      </c>
      <c r="M254" s="369" t="s">
        <v>100</v>
      </c>
      <c r="N254" s="379"/>
      <c r="O254" s="380"/>
      <c r="P254" s="5"/>
    </row>
    <row r="255" spans="1:16" ht="15.6" x14ac:dyDescent="0.3">
      <c r="A255" s="262"/>
      <c r="B255" s="264" t="s">
        <v>85</v>
      </c>
      <c r="C255" s="263"/>
      <c r="D255" s="357"/>
      <c r="E255" s="357"/>
      <c r="F255" s="357"/>
      <c r="G255" s="357"/>
      <c r="H255" s="357"/>
      <c r="I255" s="357"/>
      <c r="J255" s="264">
        <v>0</v>
      </c>
      <c r="K255" s="355">
        <f t="shared" ref="K255:K267" si="3">J255/$J$269</f>
        <v>0</v>
      </c>
      <c r="L255" s="265">
        <v>0</v>
      </c>
      <c r="M255" s="355">
        <f t="shared" ref="M255:M267" si="4">L255/$L$269</f>
        <v>0</v>
      </c>
      <c r="N255" s="263"/>
      <c r="O255" s="266"/>
      <c r="P255" s="5"/>
    </row>
    <row r="256" spans="1:16" ht="15.6" x14ac:dyDescent="0.3">
      <c r="A256" s="262"/>
      <c r="B256" s="264" t="s">
        <v>86</v>
      </c>
      <c r="C256" s="263"/>
      <c r="D256" s="357"/>
      <c r="E256" s="357"/>
      <c r="F256" s="357"/>
      <c r="G256" s="357"/>
      <c r="H256" s="357"/>
      <c r="I256" s="357"/>
      <c r="J256" s="264">
        <v>0</v>
      </c>
      <c r="K256" s="355">
        <f t="shared" si="3"/>
        <v>0</v>
      </c>
      <c r="L256" s="265">
        <v>0</v>
      </c>
      <c r="M256" s="355">
        <f t="shared" si="4"/>
        <v>0</v>
      </c>
      <c r="N256" s="263"/>
      <c r="O256" s="266"/>
      <c r="P256" s="5"/>
    </row>
    <row r="257" spans="1:16" ht="15.6" x14ac:dyDescent="0.3">
      <c r="A257" s="262"/>
      <c r="B257" s="264" t="s">
        <v>87</v>
      </c>
      <c r="C257" s="263"/>
      <c r="D257" s="357"/>
      <c r="E257" s="357"/>
      <c r="F257" s="357"/>
      <c r="G257" s="357"/>
      <c r="H257" s="357"/>
      <c r="I257" s="357"/>
      <c r="J257" s="264">
        <v>0</v>
      </c>
      <c r="K257" s="355">
        <f t="shared" si="3"/>
        <v>0</v>
      </c>
      <c r="L257" s="265">
        <v>0</v>
      </c>
      <c r="M257" s="355">
        <f t="shared" si="4"/>
        <v>0</v>
      </c>
      <c r="N257" s="263"/>
      <c r="O257" s="266"/>
      <c r="P257" s="5"/>
    </row>
    <row r="258" spans="1:16" ht="15.6" x14ac:dyDescent="0.3">
      <c r="A258" s="262"/>
      <c r="B258" s="264" t="s">
        <v>145</v>
      </c>
      <c r="C258" s="263"/>
      <c r="D258" s="357"/>
      <c r="E258" s="357"/>
      <c r="F258" s="357"/>
      <c r="G258" s="357"/>
      <c r="H258" s="357"/>
      <c r="I258" s="357"/>
      <c r="J258" s="264">
        <v>0</v>
      </c>
      <c r="K258" s="355">
        <f t="shared" si="3"/>
        <v>0</v>
      </c>
      <c r="L258" s="265">
        <v>0</v>
      </c>
      <c r="M258" s="355">
        <f t="shared" si="4"/>
        <v>0</v>
      </c>
      <c r="N258" s="263"/>
      <c r="O258" s="266"/>
      <c r="P258" s="5"/>
    </row>
    <row r="259" spans="1:16" ht="15.6" x14ac:dyDescent="0.3">
      <c r="A259" s="262"/>
      <c r="B259" s="264" t="s">
        <v>146</v>
      </c>
      <c r="C259" s="263"/>
      <c r="D259" s="357"/>
      <c r="E259" s="357"/>
      <c r="F259" s="357"/>
      <c r="G259" s="357"/>
      <c r="H259" s="357"/>
      <c r="I259" s="357"/>
      <c r="J259" s="264">
        <v>0</v>
      </c>
      <c r="K259" s="355">
        <f t="shared" si="3"/>
        <v>0</v>
      </c>
      <c r="L259" s="265">
        <v>0</v>
      </c>
      <c r="M259" s="355">
        <f t="shared" si="4"/>
        <v>0</v>
      </c>
      <c r="N259" s="263"/>
      <c r="O259" s="266"/>
      <c r="P259" s="5"/>
    </row>
    <row r="260" spans="1:16" ht="15.6" x14ac:dyDescent="0.3">
      <c r="A260" s="262"/>
      <c r="B260" s="264" t="s">
        <v>147</v>
      </c>
      <c r="C260" s="263"/>
      <c r="D260" s="357"/>
      <c r="E260" s="357"/>
      <c r="F260" s="357"/>
      <c r="G260" s="357"/>
      <c r="H260" s="357"/>
      <c r="I260" s="357"/>
      <c r="J260" s="264">
        <v>0</v>
      </c>
      <c r="K260" s="355">
        <f t="shared" si="3"/>
        <v>0</v>
      </c>
      <c r="L260" s="265">
        <v>0</v>
      </c>
      <c r="M260" s="355">
        <f t="shared" si="4"/>
        <v>0</v>
      </c>
      <c r="N260" s="263"/>
      <c r="O260" s="266"/>
      <c r="P260" s="5"/>
    </row>
    <row r="261" spans="1:16" ht="15.6" x14ac:dyDescent="0.3">
      <c r="A261" s="262"/>
      <c r="B261" s="264" t="s">
        <v>227</v>
      </c>
      <c r="C261" s="263"/>
      <c r="D261" s="357"/>
      <c r="E261" s="357"/>
      <c r="F261" s="357"/>
      <c r="G261" s="357"/>
      <c r="H261" s="357"/>
      <c r="I261" s="357"/>
      <c r="J261" s="264">
        <v>0</v>
      </c>
      <c r="K261" s="355">
        <f t="shared" si="3"/>
        <v>0</v>
      </c>
      <c r="L261" s="265">
        <v>0</v>
      </c>
      <c r="M261" s="355">
        <f t="shared" si="4"/>
        <v>0</v>
      </c>
      <c r="N261" s="263"/>
      <c r="O261" s="266"/>
      <c r="P261" s="5"/>
    </row>
    <row r="262" spans="1:16" ht="15.6" x14ac:dyDescent="0.3">
      <c r="A262" s="262"/>
      <c r="B262" s="264" t="s">
        <v>228</v>
      </c>
      <c r="C262" s="263"/>
      <c r="D262" s="357"/>
      <c r="E262" s="357"/>
      <c r="F262" s="357"/>
      <c r="G262" s="357"/>
      <c r="H262" s="357"/>
      <c r="I262" s="357"/>
      <c r="J262" s="264">
        <v>3</v>
      </c>
      <c r="K262" s="355">
        <f t="shared" si="3"/>
        <v>0.75</v>
      </c>
      <c r="L262" s="265">
        <v>166</v>
      </c>
      <c r="M262" s="355">
        <f t="shared" si="4"/>
        <v>0.82178217821782173</v>
      </c>
      <c r="N262" s="263"/>
      <c r="O262" s="266"/>
      <c r="P262" s="5"/>
    </row>
    <row r="263" spans="1:16" ht="15.6" x14ac:dyDescent="0.3">
      <c r="A263" s="262"/>
      <c r="B263" s="264" t="s">
        <v>229</v>
      </c>
      <c r="C263" s="263"/>
      <c r="D263" s="357"/>
      <c r="E263" s="357"/>
      <c r="F263" s="357"/>
      <c r="G263" s="357"/>
      <c r="H263" s="357"/>
      <c r="I263" s="357"/>
      <c r="J263" s="264">
        <v>0</v>
      </c>
      <c r="K263" s="355">
        <f t="shared" si="3"/>
        <v>0</v>
      </c>
      <c r="L263" s="265">
        <v>0</v>
      </c>
      <c r="M263" s="355">
        <f t="shared" si="4"/>
        <v>0</v>
      </c>
      <c r="N263" s="263"/>
      <c r="O263" s="266"/>
      <c r="P263" s="5"/>
    </row>
    <row r="264" spans="1:16" ht="15.6" x14ac:dyDescent="0.3">
      <c r="A264" s="262"/>
      <c r="B264" s="264" t="s">
        <v>230</v>
      </c>
      <c r="C264" s="263"/>
      <c r="D264" s="357"/>
      <c r="E264" s="357"/>
      <c r="F264" s="357"/>
      <c r="G264" s="357"/>
      <c r="H264" s="357"/>
      <c r="I264" s="357"/>
      <c r="J264" s="264">
        <v>0</v>
      </c>
      <c r="K264" s="355">
        <f t="shared" si="3"/>
        <v>0</v>
      </c>
      <c r="L264" s="265">
        <v>0</v>
      </c>
      <c r="M264" s="355">
        <f t="shared" si="4"/>
        <v>0</v>
      </c>
      <c r="N264" s="263"/>
      <c r="O264" s="266"/>
      <c r="P264" s="5"/>
    </row>
    <row r="265" spans="1:16" ht="15.6" x14ac:dyDescent="0.3">
      <c r="A265" s="262"/>
      <c r="B265" s="264" t="s">
        <v>231</v>
      </c>
      <c r="C265" s="263"/>
      <c r="D265" s="357"/>
      <c r="E265" s="357"/>
      <c r="F265" s="357"/>
      <c r="G265" s="357"/>
      <c r="H265" s="357"/>
      <c r="I265" s="357"/>
      <c r="J265" s="264">
        <v>1</v>
      </c>
      <c r="K265" s="355">
        <f t="shared" si="3"/>
        <v>0.25</v>
      </c>
      <c r="L265" s="265">
        <v>36</v>
      </c>
      <c r="M265" s="355">
        <f t="shared" si="4"/>
        <v>0.17821782178217821</v>
      </c>
      <c r="N265" s="263"/>
      <c r="O265" s="266"/>
      <c r="P265" s="5"/>
    </row>
    <row r="266" spans="1:16" ht="15.6" x14ac:dyDescent="0.3">
      <c r="A266" s="262"/>
      <c r="B266" s="264" t="s">
        <v>232</v>
      </c>
      <c r="C266" s="263"/>
      <c r="D266" s="357"/>
      <c r="E266" s="357"/>
      <c r="F266" s="357"/>
      <c r="G266" s="357"/>
      <c r="H266" s="357"/>
      <c r="I266" s="357"/>
      <c r="J266" s="264">
        <v>0</v>
      </c>
      <c r="K266" s="355">
        <f t="shared" si="3"/>
        <v>0</v>
      </c>
      <c r="L266" s="265">
        <v>0</v>
      </c>
      <c r="M266" s="355">
        <f t="shared" si="4"/>
        <v>0</v>
      </c>
      <c r="N266" s="263"/>
      <c r="O266" s="266"/>
      <c r="P266" s="5"/>
    </row>
    <row r="267" spans="1:16" ht="15.6" x14ac:dyDescent="0.3">
      <c r="A267" s="262"/>
      <c r="B267" s="264" t="s">
        <v>233</v>
      </c>
      <c r="C267" s="263"/>
      <c r="D267" s="357"/>
      <c r="E267" s="357"/>
      <c r="F267" s="357"/>
      <c r="G267" s="357"/>
      <c r="H267" s="357"/>
      <c r="I267" s="357"/>
      <c r="J267" s="264">
        <v>0</v>
      </c>
      <c r="K267" s="355">
        <f t="shared" si="3"/>
        <v>0</v>
      </c>
      <c r="L267" s="265">
        <v>0</v>
      </c>
      <c r="M267" s="355">
        <f t="shared" si="4"/>
        <v>0</v>
      </c>
      <c r="N267" s="263"/>
      <c r="O267" s="266"/>
      <c r="P267" s="5"/>
    </row>
    <row r="268" spans="1:16" ht="15.6" x14ac:dyDescent="0.3">
      <c r="A268" s="262"/>
      <c r="B268" s="264"/>
      <c r="C268" s="263"/>
      <c r="D268" s="357"/>
      <c r="E268" s="357"/>
      <c r="F268" s="357"/>
      <c r="G268" s="357"/>
      <c r="H268" s="357"/>
      <c r="I268" s="357"/>
      <c r="J268" s="264"/>
      <c r="K268" s="355"/>
      <c r="L268" s="265"/>
      <c r="M268" s="355"/>
      <c r="N268" s="263"/>
      <c r="O268" s="266"/>
      <c r="P268" s="5"/>
    </row>
    <row r="269" spans="1:16" ht="15.6" x14ac:dyDescent="0.3">
      <c r="A269" s="262"/>
      <c r="B269" s="263" t="s">
        <v>114</v>
      </c>
      <c r="C269" s="263"/>
      <c r="D269" s="357"/>
      <c r="E269" s="357"/>
      <c r="F269" s="357"/>
      <c r="G269" s="357"/>
      <c r="H269" s="357"/>
      <c r="I269" s="357"/>
      <c r="J269" s="264">
        <f>SUM(J255:J267)</f>
        <v>4</v>
      </c>
      <c r="K269" s="355">
        <f>SUM(K255:K267)</f>
        <v>1</v>
      </c>
      <c r="L269" s="265">
        <f>SUM(L255:L267)</f>
        <v>202</v>
      </c>
      <c r="M269" s="355">
        <f>SUM(M255:M267)</f>
        <v>1</v>
      </c>
      <c r="N269" s="263"/>
      <c r="O269" s="266"/>
      <c r="P269" s="5"/>
    </row>
    <row r="270" spans="1:16" ht="15.6" x14ac:dyDescent="0.3">
      <c r="A270" s="262"/>
      <c r="B270" s="263"/>
      <c r="C270" s="263"/>
      <c r="D270" s="357"/>
      <c r="E270" s="357"/>
      <c r="F270" s="357"/>
      <c r="G270" s="357"/>
      <c r="H270" s="357"/>
      <c r="I270" s="357"/>
      <c r="J270" s="264"/>
      <c r="K270" s="355"/>
      <c r="L270" s="265"/>
      <c r="M270" s="355"/>
      <c r="N270" s="263"/>
      <c r="O270" s="266"/>
      <c r="P270" s="5"/>
    </row>
    <row r="271" spans="1:16" ht="15.6" x14ac:dyDescent="0.3">
      <c r="A271" s="262"/>
      <c r="B271" s="277" t="s">
        <v>151</v>
      </c>
      <c r="C271" s="263"/>
      <c r="D271" s="357"/>
      <c r="E271" s="357"/>
      <c r="F271" s="357"/>
      <c r="G271" s="357"/>
      <c r="H271" s="357"/>
      <c r="I271" s="357"/>
      <c r="J271" s="358">
        <f>J269+J252+J235</f>
        <v>2856</v>
      </c>
      <c r="K271" s="355"/>
      <c r="L271" s="359">
        <f>+L269+L252+L235</f>
        <v>116436</v>
      </c>
      <c r="M271" s="355"/>
      <c r="N271" s="263"/>
      <c r="O271" s="266"/>
      <c r="P271" s="5"/>
    </row>
    <row r="272" spans="1:16" ht="15.6" x14ac:dyDescent="0.3">
      <c r="A272" s="188"/>
      <c r="B272" s="248"/>
      <c r="C272" s="248"/>
      <c r="D272" s="352"/>
      <c r="E272" s="352"/>
      <c r="F272" s="352"/>
      <c r="G272" s="352"/>
      <c r="H272" s="352"/>
      <c r="I272" s="352"/>
      <c r="J272" s="352"/>
      <c r="K272" s="352"/>
      <c r="L272" s="249"/>
      <c r="M272" s="352"/>
      <c r="N272" s="248"/>
      <c r="O272" s="248"/>
      <c r="P272" s="5"/>
    </row>
    <row r="273" spans="1:16" ht="15.6" x14ac:dyDescent="0.3">
      <c r="A273" s="188"/>
      <c r="B273" s="238"/>
      <c r="C273" s="238"/>
      <c r="D273" s="253"/>
      <c r="E273" s="253"/>
      <c r="F273" s="253"/>
      <c r="G273" s="253"/>
      <c r="H273" s="253"/>
      <c r="I273" s="253"/>
      <c r="J273" s="253"/>
      <c r="K273" s="253"/>
      <c r="L273" s="254"/>
      <c r="M273" s="253"/>
      <c r="N273" s="238"/>
      <c r="O273" s="238"/>
      <c r="P273" s="5"/>
    </row>
    <row r="274" spans="1:16" ht="15.6" x14ac:dyDescent="0.3">
      <c r="A274" s="226"/>
      <c r="B274" s="229" t="s">
        <v>88</v>
      </c>
      <c r="C274" s="238"/>
      <c r="D274" s="232" t="s">
        <v>94</v>
      </c>
      <c r="E274" s="238"/>
      <c r="F274" s="229" t="s">
        <v>96</v>
      </c>
      <c r="G274" s="255"/>
      <c r="H274" s="255"/>
      <c r="I274" s="255"/>
      <c r="J274" s="232"/>
      <c r="K274" s="238"/>
      <c r="L274" s="229"/>
      <c r="M274" s="255"/>
      <c r="N274" s="255"/>
      <c r="O274" s="255"/>
      <c r="P274" s="5"/>
    </row>
    <row r="275" spans="1:16" ht="15.6" x14ac:dyDescent="0.3">
      <c r="A275" s="226"/>
      <c r="B275" s="255"/>
      <c r="C275" s="238"/>
      <c r="D275" s="238"/>
      <c r="E275" s="238"/>
      <c r="F275" s="238"/>
      <c r="G275" s="255"/>
      <c r="H275" s="255"/>
      <c r="I275" s="255"/>
      <c r="J275" s="238"/>
      <c r="K275" s="238"/>
      <c r="L275" s="238"/>
      <c r="M275" s="255"/>
      <c r="N275" s="255"/>
      <c r="O275" s="255"/>
      <c r="P275" s="5"/>
    </row>
    <row r="276" spans="1:16" ht="15.6" x14ac:dyDescent="0.3">
      <c r="A276" s="226"/>
      <c r="B276" s="229" t="s">
        <v>89</v>
      </c>
      <c r="C276" s="229"/>
      <c r="D276" s="256" t="s">
        <v>138</v>
      </c>
      <c r="E276" s="229"/>
      <c r="F276" s="229" t="s">
        <v>141</v>
      </c>
      <c r="G276" s="255"/>
      <c r="H276" s="255"/>
      <c r="I276" s="255"/>
      <c r="J276" s="256"/>
      <c r="K276" s="229"/>
      <c r="L276" s="229"/>
      <c r="M276" s="255"/>
      <c r="N276" s="255"/>
      <c r="O276" s="255"/>
      <c r="P276" s="5"/>
    </row>
    <row r="277" spans="1:16" ht="15.6" x14ac:dyDescent="0.3">
      <c r="A277" s="196"/>
      <c r="B277" s="229" t="s">
        <v>239</v>
      </c>
      <c r="C277" s="229"/>
      <c r="D277" s="256" t="s">
        <v>240</v>
      </c>
      <c r="E277" s="256"/>
      <c r="F277" s="229" t="s">
        <v>241</v>
      </c>
      <c r="G277" s="229"/>
      <c r="H277" s="255"/>
      <c r="I277" s="255"/>
      <c r="J277" s="256"/>
      <c r="K277" s="229"/>
      <c r="L277" s="229"/>
      <c r="M277" s="255"/>
      <c r="N277" s="255"/>
      <c r="O277" s="255"/>
      <c r="P277" s="5"/>
    </row>
    <row r="278" spans="1:16" ht="15.6" x14ac:dyDescent="0.3">
      <c r="A278" s="226"/>
      <c r="B278" s="229" t="s">
        <v>90</v>
      </c>
      <c r="C278" s="229"/>
      <c r="D278" s="256" t="s">
        <v>137</v>
      </c>
      <c r="E278" s="229"/>
      <c r="F278" s="229" t="s">
        <v>142</v>
      </c>
      <c r="G278" s="255"/>
      <c r="H278" s="255"/>
      <c r="I278" s="255"/>
      <c r="J278" s="256"/>
      <c r="K278" s="229"/>
      <c r="L278" s="229"/>
      <c r="M278" s="255"/>
      <c r="N278" s="255"/>
      <c r="O278" s="255"/>
      <c r="P278" s="5"/>
    </row>
    <row r="279" spans="1:16" ht="15.6" x14ac:dyDescent="0.3">
      <c r="A279" s="226"/>
      <c r="B279" s="196"/>
      <c r="C279" s="196"/>
      <c r="D279" s="202"/>
      <c r="E279" s="202"/>
      <c r="F279" s="202"/>
      <c r="G279" s="202"/>
      <c r="H279" s="202"/>
      <c r="I279" s="202"/>
      <c r="J279" s="202"/>
      <c r="K279" s="202"/>
      <c r="L279" s="202"/>
      <c r="M279" s="202"/>
      <c r="N279" s="202"/>
      <c r="O279" s="202"/>
      <c r="P279" s="5"/>
    </row>
    <row r="280" spans="1:16" ht="15.6" x14ac:dyDescent="0.3">
      <c r="A280" s="226"/>
      <c r="B280" s="196"/>
      <c r="C280" s="196"/>
      <c r="D280" s="202"/>
      <c r="E280" s="202"/>
      <c r="F280" s="202"/>
      <c r="G280" s="202"/>
      <c r="H280" s="202"/>
      <c r="I280" s="202"/>
      <c r="J280" s="202"/>
      <c r="K280" s="202"/>
      <c r="L280" s="202"/>
      <c r="M280" s="202"/>
      <c r="N280" s="202"/>
      <c r="O280" s="202"/>
      <c r="P280" s="5"/>
    </row>
    <row r="281" spans="1:16" ht="18" thickBot="1" x14ac:dyDescent="0.35">
      <c r="A281" s="226"/>
      <c r="B281" s="257" t="str">
        <f>B182</f>
        <v>FF7 INVESTOR REPORT QUARTER ENDING MAY 2010</v>
      </c>
      <c r="C281" s="196"/>
      <c r="D281" s="202"/>
      <c r="E281" s="202"/>
      <c r="F281" s="202"/>
      <c r="G281" s="202"/>
      <c r="H281" s="202"/>
      <c r="I281" s="202"/>
      <c r="J281" s="202"/>
      <c r="K281" s="202"/>
      <c r="L281" s="202"/>
      <c r="M281" s="202"/>
      <c r="N281" s="202"/>
      <c r="O281" s="202"/>
      <c r="P281" s="5"/>
    </row>
    <row r="282" spans="1:16" x14ac:dyDescent="0.25">
      <c r="A282" s="95"/>
      <c r="B282" s="95"/>
      <c r="C282" s="95"/>
      <c r="D282" s="95"/>
      <c r="E282" s="95"/>
      <c r="F282" s="95"/>
      <c r="G282" s="95"/>
      <c r="H282" s="95"/>
      <c r="I282" s="95"/>
      <c r="J282" s="95"/>
      <c r="K282" s="95"/>
      <c r="L282" s="95"/>
      <c r="M282" s="95"/>
      <c r="N282" s="95"/>
      <c r="O282"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2" manualBreakCount="2">
    <brk id="115" max="14" man="1"/>
    <brk id="182"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sheetPr>
  <dimension ref="A1:IV299"/>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5.3100000000000001E-2</v>
      </c>
      <c r="L16" s="232" t="s">
        <v>133</v>
      </c>
      <c r="M16" s="231">
        <v>0.94689999999999996</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40437</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3"/>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72" t="s">
        <v>162</v>
      </c>
      <c r="C24" s="273"/>
      <c r="D24" s="267" t="s">
        <v>134</v>
      </c>
      <c r="E24" s="267"/>
      <c r="F24" s="267" t="s">
        <v>152</v>
      </c>
      <c r="G24" s="267"/>
      <c r="H24" s="267" t="s">
        <v>135</v>
      </c>
      <c r="I24" s="267"/>
      <c r="J24" s="267"/>
      <c r="K24" s="273"/>
      <c r="L24" s="267"/>
      <c r="M24" s="268"/>
      <c r="N24" s="269"/>
      <c r="O24" s="270"/>
      <c r="P24" s="5"/>
    </row>
    <row r="25" spans="1:16" ht="15.6" x14ac:dyDescent="0.3">
      <c r="A25" s="274"/>
      <c r="B25" s="275" t="s">
        <v>163</v>
      </c>
      <c r="C25" s="267"/>
      <c r="D25" s="273" t="s">
        <v>134</v>
      </c>
      <c r="E25" s="273"/>
      <c r="F25" s="273" t="s">
        <v>152</v>
      </c>
      <c r="G25" s="273"/>
      <c r="H25" s="273" t="s">
        <v>135</v>
      </c>
      <c r="I25" s="273"/>
      <c r="J25" s="273"/>
      <c r="K25" s="267"/>
      <c r="L25" s="276"/>
      <c r="M25" s="268"/>
      <c r="N25" s="268"/>
      <c r="O25" s="266"/>
      <c r="P25" s="5"/>
    </row>
    <row r="26" spans="1:16" ht="15.6" x14ac:dyDescent="0.3">
      <c r="A26" s="274"/>
      <c r="B26" s="277" t="s">
        <v>164</v>
      </c>
      <c r="C26" s="267"/>
      <c r="D26" s="273" t="s">
        <v>134</v>
      </c>
      <c r="E26" s="273"/>
      <c r="F26" s="273" t="s">
        <v>152</v>
      </c>
      <c r="G26" s="273"/>
      <c r="H26" s="273" t="s">
        <v>135</v>
      </c>
      <c r="I26" s="273"/>
      <c r="J26" s="273"/>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87">
        <f>SUM(D28:H28)</f>
        <v>268600</v>
      </c>
      <c r="O28" s="281"/>
      <c r="P28" s="5"/>
    </row>
    <row r="29" spans="1:16" ht="15.6" x14ac:dyDescent="0.3">
      <c r="A29" s="274"/>
      <c r="B29" s="263" t="s">
        <v>128</v>
      </c>
      <c r="C29" s="278"/>
      <c r="D29" s="279">
        <f>D28*D32</f>
        <v>109449.9607</v>
      </c>
      <c r="E29" s="279"/>
      <c r="F29" s="279">
        <f>F28*F32</f>
        <v>3493.0213199999998</v>
      </c>
      <c r="G29" s="279"/>
      <c r="H29" s="279">
        <f>H28*H32</f>
        <v>3493.0213199999998</v>
      </c>
      <c r="I29" s="279"/>
      <c r="J29" s="284"/>
      <c r="K29" s="279"/>
      <c r="L29" s="279"/>
      <c r="M29" s="280"/>
      <c r="N29" s="279">
        <f>SUM(D29:H29)</f>
        <v>116436.00334</v>
      </c>
      <c r="O29" s="281"/>
      <c r="P29" s="5"/>
    </row>
    <row r="30" spans="1:16" ht="15.6" x14ac:dyDescent="0.3">
      <c r="A30" s="274"/>
      <c r="B30" s="275" t="s">
        <v>130</v>
      </c>
      <c r="C30" s="278"/>
      <c r="D30" s="285">
        <f>D28*D31</f>
        <v>104086.57829999999</v>
      </c>
      <c r="E30" s="285"/>
      <c r="F30" s="285">
        <f>F28*F31</f>
        <v>3321.84888</v>
      </c>
      <c r="G30" s="285"/>
      <c r="H30" s="285">
        <f>H28*H31</f>
        <v>3321.84888</v>
      </c>
      <c r="I30" s="285"/>
      <c r="J30" s="288"/>
      <c r="K30" s="279"/>
      <c r="L30" s="279"/>
      <c r="M30" s="280"/>
      <c r="N30" s="289">
        <f>SUM(D30:I30)</f>
        <v>110730.27606</v>
      </c>
      <c r="O30" s="281"/>
      <c r="P30" s="5"/>
    </row>
    <row r="31" spans="1:16" ht="15.6" x14ac:dyDescent="0.3">
      <c r="A31" s="262"/>
      <c r="B31" s="290" t="s">
        <v>126</v>
      </c>
      <c r="C31" s="291"/>
      <c r="D31" s="292">
        <v>0.39956459999999999</v>
      </c>
      <c r="E31" s="292"/>
      <c r="F31" s="292">
        <v>0.82020959999999998</v>
      </c>
      <c r="G31" s="292"/>
      <c r="H31" s="292">
        <v>0.82020959999999998</v>
      </c>
      <c r="I31" s="293"/>
      <c r="J31" s="293"/>
      <c r="K31" s="294"/>
      <c r="L31" s="294"/>
      <c r="M31" s="269"/>
      <c r="N31" s="269"/>
      <c r="O31" s="270"/>
      <c r="P31" s="5"/>
    </row>
    <row r="32" spans="1:16" ht="15.6" x14ac:dyDescent="0.3">
      <c r="A32" s="262"/>
      <c r="B32" s="290" t="s">
        <v>127</v>
      </c>
      <c r="C32" s="291"/>
      <c r="D32" s="292">
        <v>0.42015340000000001</v>
      </c>
      <c r="E32" s="292"/>
      <c r="F32" s="292">
        <v>0.86247439999999997</v>
      </c>
      <c r="G32" s="292"/>
      <c r="H32" s="292">
        <v>0.86247439999999997</v>
      </c>
      <c r="I32" s="293"/>
      <c r="J32" s="293"/>
      <c r="K32" s="295"/>
      <c r="L32" s="296"/>
      <c r="M32" s="269"/>
      <c r="N32" s="295"/>
      <c r="O32" s="270"/>
      <c r="P32" s="5"/>
    </row>
    <row r="33" spans="1:17" ht="15.6" x14ac:dyDescent="0.3">
      <c r="A33" s="274"/>
      <c r="B33" s="263" t="s">
        <v>9</v>
      </c>
      <c r="C33" s="263"/>
      <c r="D33" s="276" t="s">
        <v>192</v>
      </c>
      <c r="E33" s="276"/>
      <c r="F33" s="276" t="s">
        <v>194</v>
      </c>
      <c r="G33" s="276"/>
      <c r="H33" s="276" t="s">
        <v>196</v>
      </c>
      <c r="I33" s="276"/>
      <c r="J33" s="276"/>
      <c r="K33" s="297"/>
      <c r="L33" s="298"/>
      <c r="M33" s="268"/>
      <c r="N33" s="268"/>
      <c r="O33" s="266"/>
      <c r="P33" s="5"/>
    </row>
    <row r="34" spans="1:17" ht="15.6" x14ac:dyDescent="0.3">
      <c r="A34" s="274"/>
      <c r="B34" s="263" t="s">
        <v>10</v>
      </c>
      <c r="C34" s="263"/>
      <c r="D34" s="298">
        <v>8.5000000000000006E-3</v>
      </c>
      <c r="E34" s="297"/>
      <c r="F34" s="298">
        <v>9.1000000000000004E-3</v>
      </c>
      <c r="G34" s="297"/>
      <c r="H34" s="298">
        <v>1.01E-2</v>
      </c>
      <c r="I34" s="297"/>
      <c r="J34" s="298"/>
      <c r="K34" s="297"/>
      <c r="L34" s="298"/>
      <c r="M34" s="268"/>
      <c r="N34" s="297">
        <f>SUMPRODUCT(D34:H34,D29:H29)/N29</f>
        <v>8.5659988893775456E-3</v>
      </c>
      <c r="O34" s="266"/>
      <c r="P34" s="5"/>
    </row>
    <row r="35" spans="1:17" ht="15.6" x14ac:dyDescent="0.3">
      <c r="A35" s="274"/>
      <c r="B35" s="263" t="s">
        <v>11</v>
      </c>
      <c r="C35" s="263"/>
      <c r="D35" s="298">
        <v>7.6499999999999997E-3</v>
      </c>
      <c r="E35" s="297"/>
      <c r="F35" s="298">
        <v>8.2500000000000004E-3</v>
      </c>
      <c r="G35" s="297"/>
      <c r="H35" s="298">
        <v>9.2499999999999995E-3</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6.3828572987109145E-2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40436</v>
      </c>
      <c r="O45" s="266"/>
      <c r="P45" s="5"/>
    </row>
    <row r="46" spans="1:17" ht="15.6" x14ac:dyDescent="0.3">
      <c r="A46" s="274"/>
      <c r="B46" s="263" t="s">
        <v>119</v>
      </c>
      <c r="C46" s="263"/>
      <c r="D46" s="305"/>
      <c r="E46" s="305"/>
      <c r="F46" s="305"/>
      <c r="G46" s="305"/>
      <c r="H46" s="305"/>
      <c r="I46" s="305"/>
      <c r="J46" s="263">
        <f>+N46-L46+1</f>
        <v>92</v>
      </c>
      <c r="K46" s="305"/>
      <c r="L46" s="306">
        <v>40252</v>
      </c>
      <c r="M46" s="307"/>
      <c r="N46" s="306">
        <v>40343</v>
      </c>
      <c r="O46" s="266"/>
      <c r="P46" s="5"/>
    </row>
    <row r="47" spans="1:17" ht="15.6" x14ac:dyDescent="0.3">
      <c r="A47" s="274"/>
      <c r="B47" s="263" t="s">
        <v>120</v>
      </c>
      <c r="C47" s="263"/>
      <c r="D47" s="263"/>
      <c r="E47" s="263"/>
      <c r="F47" s="263"/>
      <c r="G47" s="263"/>
      <c r="H47" s="263"/>
      <c r="I47" s="263"/>
      <c r="J47" s="263">
        <f>+N47-L47+1</f>
        <v>92</v>
      </c>
      <c r="K47" s="263"/>
      <c r="L47" s="306">
        <v>40344</v>
      </c>
      <c r="M47" s="307"/>
      <c r="N47" s="306">
        <v>40435</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40422</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257</v>
      </c>
      <c r="C52" s="243"/>
      <c r="D52" s="243"/>
      <c r="E52" s="243"/>
      <c r="F52" s="243"/>
      <c r="G52" s="243"/>
      <c r="H52" s="243"/>
      <c r="I52" s="243"/>
      <c r="J52" s="243"/>
      <c r="K52" s="243"/>
      <c r="L52" s="243"/>
      <c r="M52" s="243"/>
      <c r="N52" s="244"/>
      <c r="O52" s="245"/>
      <c r="P52" s="5"/>
    </row>
    <row r="53" spans="1:16" ht="15.6" x14ac:dyDescent="0.3">
      <c r="A53" s="360"/>
      <c r="B53" s="36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116436</v>
      </c>
      <c r="G56" s="264"/>
      <c r="H56" s="264">
        <f>5706+1188+813</f>
        <v>7707</v>
      </c>
      <c r="I56" s="264"/>
      <c r="J56" s="264">
        <f>1188+813</f>
        <v>2001</v>
      </c>
      <c r="K56" s="264"/>
      <c r="L56" s="264">
        <v>0</v>
      </c>
      <c r="M56" s="264"/>
      <c r="N56" s="265">
        <f>+F56-H56+J56-L56</f>
        <v>110730</v>
      </c>
      <c r="O56" s="266"/>
      <c r="P56" s="5"/>
    </row>
    <row r="57" spans="1:16" ht="15.6" x14ac:dyDescent="0.3">
      <c r="A57" s="262"/>
      <c r="B57" s="263" t="s">
        <v>209</v>
      </c>
      <c r="C57" s="264"/>
      <c r="D57" s="264">
        <v>756</v>
      </c>
      <c r="E57" s="264"/>
      <c r="F57" s="265">
        <v>478</v>
      </c>
      <c r="G57" s="264"/>
      <c r="H57" s="264">
        <v>16</v>
      </c>
      <c r="I57" s="264"/>
      <c r="J57" s="264">
        <v>0</v>
      </c>
      <c r="K57" s="264"/>
      <c r="L57" s="264">
        <v>0</v>
      </c>
      <c r="M57" s="264"/>
      <c r="N57" s="265">
        <f>+F57-H57</f>
        <v>462</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116914</v>
      </c>
      <c r="G59" s="264"/>
      <c r="H59" s="264">
        <f>SUM(H56:H58)</f>
        <v>7723</v>
      </c>
      <c r="I59" s="264"/>
      <c r="J59" s="264">
        <f>SUM(J56:J58)</f>
        <v>2001</v>
      </c>
      <c r="K59" s="264"/>
      <c r="L59" s="264">
        <f>SUM(L56:L58)</f>
        <v>0</v>
      </c>
      <c r="M59" s="264"/>
      <c r="N59" s="264">
        <f>SUM(N56:N58)</f>
        <v>111192</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-478</v>
      </c>
      <c r="G68" s="264"/>
      <c r="H68" s="264"/>
      <c r="I68" s="264"/>
      <c r="J68" s="264"/>
      <c r="K68" s="264"/>
      <c r="L68" s="264"/>
      <c r="M68" s="264"/>
      <c r="N68" s="265">
        <f>-N57</f>
        <v>-462</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116436</v>
      </c>
      <c r="G72" s="264"/>
      <c r="H72" s="264"/>
      <c r="I72" s="264"/>
      <c r="J72" s="264"/>
      <c r="K72" s="264"/>
      <c r="L72" s="264"/>
      <c r="M72" s="264"/>
      <c r="N72" s="264">
        <f>SUM(N59:N71)</f>
        <v>110730</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67" t="s">
        <v>25</v>
      </c>
      <c r="C75" s="367"/>
      <c r="D75" s="368" t="s">
        <v>92</v>
      </c>
      <c r="E75" s="369"/>
      <c r="F75" s="370">
        <f>+L183</f>
        <v>40421</v>
      </c>
      <c r="G75" s="369"/>
      <c r="H75" s="369"/>
      <c r="I75" s="369"/>
      <c r="J75" s="369"/>
      <c r="K75" s="369"/>
      <c r="L75" s="369" t="s">
        <v>105</v>
      </c>
      <c r="M75" s="369"/>
      <c r="N75" s="36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7707-5</f>
        <v>7702</v>
      </c>
      <c r="M77" s="263"/>
      <c r="N77" s="265"/>
      <c r="O77" s="266"/>
      <c r="P77" s="5"/>
    </row>
    <row r="78" spans="1:16" ht="15.6" x14ac:dyDescent="0.3">
      <c r="A78" s="262"/>
      <c r="B78" s="263" t="s">
        <v>176</v>
      </c>
      <c r="C78" s="263"/>
      <c r="D78" s="300"/>
      <c r="E78" s="263"/>
      <c r="F78" s="309"/>
      <c r="G78" s="263"/>
      <c r="H78" s="263"/>
      <c r="I78" s="263"/>
      <c r="J78" s="263"/>
      <c r="K78" s="263"/>
      <c r="L78" s="264"/>
      <c r="M78" s="263"/>
      <c r="N78" s="265">
        <f>2987+122+1477-3588-60-749</f>
        <v>189</v>
      </c>
      <c r="O78" s="266"/>
      <c r="P78" s="5"/>
    </row>
    <row r="79" spans="1:16" ht="15.6" x14ac:dyDescent="0.3">
      <c r="A79" s="262"/>
      <c r="B79" s="263" t="s">
        <v>174</v>
      </c>
      <c r="C79" s="263"/>
      <c r="D79" s="300"/>
      <c r="E79" s="263"/>
      <c r="F79" s="309"/>
      <c r="G79" s="263"/>
      <c r="H79" s="263"/>
      <c r="I79" s="263"/>
      <c r="J79" s="263"/>
      <c r="K79" s="263"/>
      <c r="L79" s="264"/>
      <c r="M79" s="263"/>
      <c r="N79" s="265">
        <f>68+36</f>
        <v>104</v>
      </c>
      <c r="O79" s="266"/>
      <c r="P79" s="5"/>
    </row>
    <row r="80" spans="1:16" ht="15.6" x14ac:dyDescent="0.3">
      <c r="A80" s="262"/>
      <c r="B80" s="263" t="s">
        <v>175</v>
      </c>
      <c r="C80" s="263"/>
      <c r="D80" s="300"/>
      <c r="E80" s="263"/>
      <c r="F80" s="309"/>
      <c r="G80" s="263"/>
      <c r="H80" s="263"/>
      <c r="I80" s="263"/>
      <c r="J80" s="263"/>
      <c r="K80" s="263"/>
      <c r="L80" s="264"/>
      <c r="M80" s="263"/>
      <c r="N80" s="265">
        <v>5</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7702</v>
      </c>
      <c r="M83" s="263"/>
      <c r="N83" s="264">
        <f>SUM(N76:N82)</f>
        <v>298</v>
      </c>
      <c r="O83" s="266"/>
      <c r="P83" s="5"/>
    </row>
    <row r="84" spans="1:17" ht="15.6" x14ac:dyDescent="0.3">
      <c r="A84" s="262"/>
      <c r="B84" s="263" t="s">
        <v>148</v>
      </c>
      <c r="C84" s="263"/>
      <c r="D84" s="263"/>
      <c r="E84" s="263"/>
      <c r="F84" s="263"/>
      <c r="G84" s="263"/>
      <c r="H84" s="263"/>
      <c r="I84" s="263"/>
      <c r="J84" s="263"/>
      <c r="K84" s="263"/>
      <c r="L84" s="264">
        <v>-1188</v>
      </c>
      <c r="M84" s="263"/>
      <c r="N84" s="264">
        <f>-L84</f>
        <v>1188</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6514</v>
      </c>
      <c r="M87" s="263"/>
      <c r="N87" s="264">
        <f>N83+N85+N84+N86</f>
        <v>1486</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-44-1-15</f>
        <v>-60</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-235</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-8</v>
      </c>
      <c r="O95" s="266"/>
      <c r="P95" s="5"/>
      <c r="Q95" s="104"/>
    </row>
    <row r="96" spans="1:17" ht="15.6" x14ac:dyDescent="0.3">
      <c r="A96" s="274" t="s">
        <v>170</v>
      </c>
      <c r="B96" s="263" t="s">
        <v>216</v>
      </c>
      <c r="C96" s="263"/>
      <c r="D96" s="263"/>
      <c r="E96" s="263"/>
      <c r="F96" s="263"/>
      <c r="G96" s="263"/>
      <c r="H96" s="263"/>
      <c r="I96" s="263"/>
      <c r="J96" s="263"/>
      <c r="K96" s="263"/>
      <c r="L96" s="263"/>
      <c r="M96" s="263"/>
      <c r="N96" s="265">
        <v>-9</v>
      </c>
      <c r="O96" s="266"/>
      <c r="P96" s="5"/>
      <c r="Q96" s="104"/>
    </row>
    <row r="97" spans="1:16" ht="15.6" x14ac:dyDescent="0.3">
      <c r="A97" s="274">
        <v>7</v>
      </c>
      <c r="B97" s="263" t="s">
        <v>33</v>
      </c>
      <c r="C97" s="263"/>
      <c r="D97" s="263"/>
      <c r="E97" s="263"/>
      <c r="F97" s="263"/>
      <c r="G97" s="263"/>
      <c r="H97" s="263"/>
      <c r="I97" s="263"/>
      <c r="J97" s="263"/>
      <c r="K97" s="263"/>
      <c r="L97" s="263"/>
      <c r="M97" s="263"/>
      <c r="N97" s="265">
        <v>-9</v>
      </c>
      <c r="O97" s="266"/>
      <c r="P97" s="5"/>
    </row>
    <row r="98" spans="1:16" ht="15.6" x14ac:dyDescent="0.3">
      <c r="A98" s="274">
        <f t="shared" ref="A98:A104" si="0">+A97+1</f>
        <v>8</v>
      </c>
      <c r="B98" s="263" t="s">
        <v>42</v>
      </c>
      <c r="C98" s="263"/>
      <c r="D98" s="263"/>
      <c r="E98" s="263"/>
      <c r="F98" s="263"/>
      <c r="G98" s="263"/>
      <c r="H98" s="263"/>
      <c r="I98" s="263"/>
      <c r="J98" s="263"/>
      <c r="K98" s="263"/>
      <c r="L98" s="264">
        <f>-N98</f>
        <v>5</v>
      </c>
      <c r="M98" s="263"/>
      <c r="N98" s="265">
        <v>-5</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-44</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-1113</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-813</v>
      </c>
      <c r="M107" s="264"/>
      <c r="N107" s="265"/>
      <c r="O107" s="266"/>
      <c r="P107" s="5"/>
    </row>
    <row r="108" spans="1:16" ht="15.6" x14ac:dyDescent="0.3">
      <c r="A108" s="274"/>
      <c r="B108" s="263" t="s">
        <v>200</v>
      </c>
      <c r="C108" s="263"/>
      <c r="D108" s="263"/>
      <c r="E108" s="263"/>
      <c r="F108" s="263"/>
      <c r="G108" s="263"/>
      <c r="H108" s="263"/>
      <c r="I108" s="263"/>
      <c r="J108" s="263"/>
      <c r="K108" s="263"/>
      <c r="L108" s="264">
        <v>-5364</v>
      </c>
      <c r="M108" s="264"/>
      <c r="N108" s="265"/>
      <c r="O108" s="266"/>
      <c r="P108" s="5"/>
    </row>
    <row r="109" spans="1:16" ht="15.6" x14ac:dyDescent="0.3">
      <c r="A109" s="274"/>
      <c r="B109" s="263" t="s">
        <v>201</v>
      </c>
      <c r="C109" s="263"/>
      <c r="D109" s="263"/>
      <c r="E109" s="263"/>
      <c r="F109" s="263"/>
      <c r="G109" s="263"/>
      <c r="H109" s="263"/>
      <c r="I109" s="263"/>
      <c r="J109" s="263"/>
      <c r="K109" s="263"/>
      <c r="L109" s="264">
        <v>-171</v>
      </c>
      <c r="M109" s="264"/>
      <c r="N109" s="265"/>
      <c r="O109" s="266"/>
      <c r="P109" s="5"/>
    </row>
    <row r="110" spans="1:16" ht="15.6" x14ac:dyDescent="0.3">
      <c r="A110" s="274"/>
      <c r="B110" s="263" t="s">
        <v>202</v>
      </c>
      <c r="C110" s="263"/>
      <c r="D110" s="263"/>
      <c r="E110" s="263"/>
      <c r="F110" s="263"/>
      <c r="G110" s="263"/>
      <c r="H110" s="263"/>
      <c r="I110" s="263"/>
      <c r="J110" s="263"/>
      <c r="K110" s="263"/>
      <c r="L110" s="264">
        <v>-171</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-6519</v>
      </c>
      <c r="M111" s="264"/>
      <c r="N111" s="264">
        <f>SUM(N88:N109)</f>
        <v>-1486</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AUGUST 2010</v>
      </c>
      <c r="C115" s="243"/>
      <c r="D115" s="243"/>
      <c r="E115" s="243"/>
      <c r="F115" s="243"/>
      <c r="G115" s="243"/>
      <c r="H115" s="243"/>
      <c r="I115" s="243"/>
      <c r="J115" s="243"/>
      <c r="K115" s="243"/>
      <c r="L115" s="243"/>
      <c r="M115" s="243"/>
      <c r="N115" s="247"/>
      <c r="O115" s="245"/>
      <c r="P115" s="5"/>
    </row>
    <row r="116" spans="1:17" ht="15.6" x14ac:dyDescent="0.3">
      <c r="A116" s="371"/>
      <c r="B116" s="374"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5</v>
      </c>
      <c r="O144" s="266"/>
      <c r="P144" s="5"/>
    </row>
    <row r="145" spans="1:256" ht="15.6" x14ac:dyDescent="0.3">
      <c r="A145" s="262"/>
      <c r="B145" s="263" t="s">
        <v>51</v>
      </c>
      <c r="C145" s="263"/>
      <c r="D145" s="263"/>
      <c r="E145" s="263"/>
      <c r="F145" s="263"/>
      <c r="G145" s="263"/>
      <c r="H145" s="263"/>
      <c r="I145" s="263"/>
      <c r="J145" s="263"/>
      <c r="K145" s="263"/>
      <c r="L145" s="263"/>
      <c r="M145" s="263"/>
      <c r="N145" s="265">
        <f>+N143+N144</f>
        <v>5</v>
      </c>
      <c r="O145" s="266"/>
      <c r="P145" s="5"/>
    </row>
    <row r="146" spans="1:256" ht="15.6" x14ac:dyDescent="0.3">
      <c r="A146" s="262"/>
      <c r="B146" s="263" t="s">
        <v>264</v>
      </c>
      <c r="C146" s="263"/>
      <c r="D146" s="263"/>
      <c r="E146" s="263"/>
      <c r="F146" s="263"/>
      <c r="G146" s="263"/>
      <c r="H146" s="263"/>
      <c r="I146" s="263"/>
      <c r="J146" s="263"/>
      <c r="K146" s="263"/>
      <c r="L146" s="263"/>
      <c r="M146" s="263"/>
      <c r="N146" s="265">
        <f>N98</f>
        <v>-5</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110730</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110730</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+'May 10'!N161</f>
        <v>478</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16</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462</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+'May 10'!L168</f>
        <v>12030</v>
      </c>
      <c r="M166" s="263"/>
      <c r="N166" s="265">
        <f>K166+L166</f>
        <v>12030</v>
      </c>
      <c r="O166" s="266"/>
      <c r="P166" s="5"/>
    </row>
    <row r="167" spans="1:256" ht="15.6" x14ac:dyDescent="0.3">
      <c r="A167" s="262"/>
      <c r="B167" s="263" t="s">
        <v>58</v>
      </c>
      <c r="C167" s="263"/>
      <c r="D167" s="263"/>
      <c r="E167" s="263"/>
      <c r="F167" s="263"/>
      <c r="G167" s="263"/>
      <c r="H167" s="263"/>
      <c r="I167" s="263"/>
      <c r="J167" s="263"/>
      <c r="K167" s="264">
        <v>0</v>
      </c>
      <c r="L167" s="264">
        <f>-L107</f>
        <v>813</v>
      </c>
      <c r="M167" s="263"/>
      <c r="N167" s="265">
        <f>K167+L167</f>
        <v>813</v>
      </c>
      <c r="O167" s="266"/>
      <c r="P167" s="5"/>
    </row>
    <row r="168" spans="1:256" ht="15.6" x14ac:dyDescent="0.3">
      <c r="A168" s="262"/>
      <c r="B168" s="263" t="s">
        <v>59</v>
      </c>
      <c r="C168" s="263"/>
      <c r="D168" s="263"/>
      <c r="E168" s="263"/>
      <c r="F168" s="263"/>
      <c r="G168" s="263"/>
      <c r="H168" s="263"/>
      <c r="I168" s="263"/>
      <c r="J168" s="263"/>
      <c r="K168" s="265">
        <f>K166+K167</f>
        <v>0</v>
      </c>
      <c r="L168" s="265">
        <f>L167+L166</f>
        <v>12843</v>
      </c>
      <c r="M168" s="263"/>
      <c r="N168" s="265">
        <f>K168+L168</f>
        <v>12843</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6.0595744680851062</v>
      </c>
      <c r="O173" s="266" t="s">
        <v>115</v>
      </c>
      <c r="P173" s="5"/>
    </row>
    <row r="174" spans="1:256" ht="15.6" x14ac:dyDescent="0.3">
      <c r="A174" s="262"/>
      <c r="B174" s="263" t="s">
        <v>63</v>
      </c>
      <c r="C174" s="263"/>
      <c r="D174" s="263"/>
      <c r="E174" s="263"/>
      <c r="F174" s="263"/>
      <c r="G174" s="263"/>
      <c r="H174" s="263"/>
      <c r="I174" s="263"/>
      <c r="J174" s="263"/>
      <c r="K174" s="263"/>
      <c r="L174" s="263"/>
      <c r="M174" s="263"/>
      <c r="N174" s="315">
        <v>1.73</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148.625</v>
      </c>
      <c r="O175" s="266" t="s">
        <v>115</v>
      </c>
      <c r="P175" s="5"/>
    </row>
    <row r="176" spans="1:256" ht="15.6" x14ac:dyDescent="0.3">
      <c r="A176" s="262"/>
      <c r="B176" s="263" t="s">
        <v>65</v>
      </c>
      <c r="C176" s="263"/>
      <c r="D176" s="263"/>
      <c r="E176" s="263"/>
      <c r="F176" s="263"/>
      <c r="G176" s="263"/>
      <c r="H176" s="263"/>
      <c r="I176" s="263"/>
      <c r="J176" s="263"/>
      <c r="K176" s="263"/>
      <c r="L176" s="263"/>
      <c r="M176" s="263"/>
      <c r="N176" s="315">
        <v>33.880000000000003</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131.22222222222223</v>
      </c>
      <c r="O177" s="266" t="s">
        <v>115</v>
      </c>
      <c r="P177" s="5"/>
    </row>
    <row r="178" spans="1:16" ht="15.6" x14ac:dyDescent="0.3">
      <c r="A178" s="262"/>
      <c r="B178" s="263" t="s">
        <v>167</v>
      </c>
      <c r="C178" s="263"/>
      <c r="D178" s="263"/>
      <c r="E178" s="263"/>
      <c r="F178" s="263"/>
      <c r="G178" s="263"/>
      <c r="H178" s="263"/>
      <c r="I178" s="263"/>
      <c r="J178" s="263"/>
      <c r="K178" s="263"/>
      <c r="L178" s="263"/>
      <c r="M178" s="263"/>
      <c r="N178" s="315">
        <v>32.04</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AUGUST 2010</v>
      </c>
      <c r="C182" s="250"/>
      <c r="D182" s="250"/>
      <c r="E182" s="250"/>
      <c r="F182" s="250"/>
      <c r="G182" s="250"/>
      <c r="H182" s="250"/>
      <c r="I182" s="250"/>
      <c r="J182" s="250"/>
      <c r="K182" s="250"/>
      <c r="L182" s="250"/>
      <c r="M182" s="250"/>
      <c r="N182" s="250"/>
      <c r="O182" s="251"/>
      <c r="P182" s="5"/>
    </row>
    <row r="183" spans="1:16" ht="15.6" x14ac:dyDescent="0.3">
      <c r="A183" s="371"/>
      <c r="B183" s="374" t="s">
        <v>66</v>
      </c>
      <c r="C183" s="375"/>
      <c r="D183" s="376"/>
      <c r="E183" s="376"/>
      <c r="F183" s="376"/>
      <c r="G183" s="376"/>
      <c r="H183" s="376"/>
      <c r="I183" s="376"/>
      <c r="J183" s="376"/>
      <c r="K183" s="376"/>
      <c r="L183" s="376">
        <v>40421</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5.3539999999999997E-2</v>
      </c>
      <c r="M188" s="263"/>
      <c r="N188" s="263"/>
      <c r="O188" s="266"/>
      <c r="P188" s="5"/>
    </row>
    <row r="189" spans="1:16" ht="15.6" x14ac:dyDescent="0.3">
      <c r="A189" s="321"/>
      <c r="B189" s="263" t="s">
        <v>212</v>
      </c>
      <c r="C189" s="322"/>
      <c r="D189" s="303"/>
      <c r="E189" s="303"/>
      <c r="F189" s="303"/>
      <c r="G189" s="303"/>
      <c r="H189" s="303"/>
      <c r="I189" s="303"/>
      <c r="J189" s="303"/>
      <c r="K189" s="303"/>
      <c r="L189" s="297">
        <f>N34</f>
        <v>8.5659988893775456E-3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4.4974001110622455E-2</v>
      </c>
      <c r="M190" s="263"/>
      <c r="N190" s="263"/>
      <c r="O190" s="266"/>
      <c r="P190" s="5"/>
    </row>
    <row r="191" spans="1:16" ht="15.6" x14ac:dyDescent="0.3">
      <c r="A191" s="321"/>
      <c r="B191" s="263" t="s">
        <v>203</v>
      </c>
      <c r="C191" s="322"/>
      <c r="D191" s="303"/>
      <c r="E191" s="303"/>
      <c r="F191" s="303"/>
      <c r="G191" s="303"/>
      <c r="H191" s="303"/>
      <c r="I191" s="303"/>
      <c r="J191" s="303"/>
      <c r="K191" s="303"/>
      <c r="L191" s="297">
        <f>+N87/F59</f>
        <v>1.2710197238996185E-2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6.21</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6.6190868803462852E-2</v>
      </c>
      <c r="M197" s="263"/>
      <c r="N197" s="263"/>
      <c r="O197" s="266"/>
      <c r="P197" s="5"/>
    </row>
    <row r="198" spans="1:16" ht="15.6" x14ac:dyDescent="0.3">
      <c r="A198" s="321"/>
      <c r="B198" s="263" t="s">
        <v>74</v>
      </c>
      <c r="C198" s="322"/>
      <c r="D198" s="303"/>
      <c r="E198" s="303"/>
      <c r="F198" s="303"/>
      <c r="G198" s="303"/>
      <c r="H198" s="303"/>
      <c r="I198" s="303"/>
      <c r="J198" s="303"/>
      <c r="K198" s="303"/>
      <c r="L198" s="297">
        <v>0.27660000000000001</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67" t="s">
        <v>75</v>
      </c>
      <c r="C200" s="369"/>
      <c r="D200" s="369"/>
      <c r="E200" s="369"/>
      <c r="F200" s="369"/>
      <c r="G200" s="369"/>
      <c r="H200" s="369"/>
      <c r="I200" s="369"/>
      <c r="J200" s="369"/>
      <c r="K200" s="369" t="s">
        <v>99</v>
      </c>
      <c r="L200" s="378" t="s">
        <v>106</v>
      </c>
      <c r="M200" s="361"/>
      <c r="N200" s="361"/>
      <c r="O200" s="361"/>
      <c r="P200" s="5"/>
    </row>
    <row r="201" spans="1:16" ht="15.6" x14ac:dyDescent="0.3">
      <c r="A201" s="330"/>
      <c r="B201" s="263" t="s">
        <v>76</v>
      </c>
      <c r="C201" s="264"/>
      <c r="D201" s="276"/>
      <c r="E201" s="276"/>
      <c r="F201" s="276"/>
      <c r="G201" s="276"/>
      <c r="H201" s="276"/>
      <c r="I201" s="276"/>
      <c r="J201" s="276"/>
      <c r="K201" s="276">
        <v>12</v>
      </c>
      <c r="L201" s="331">
        <v>751</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4</v>
      </c>
      <c r="L203" s="331">
        <f>+L286</f>
        <v>145</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72" t="s">
        <v>81</v>
      </c>
      <c r="C207" s="272"/>
      <c r="D207" s="272"/>
      <c r="E207" s="272"/>
      <c r="F207" s="272"/>
      <c r="G207" s="272"/>
      <c r="H207" s="272"/>
      <c r="I207" s="272"/>
      <c r="J207" s="272"/>
      <c r="K207" s="343"/>
      <c r="L207" s="344">
        <f>N144</f>
        <v>5</v>
      </c>
      <c r="M207" s="291"/>
      <c r="N207" s="337"/>
      <c r="O207" s="342"/>
      <c r="P207" s="5"/>
    </row>
    <row r="208" spans="1:16" ht="15.6" x14ac:dyDescent="0.3">
      <c r="A208" s="330"/>
      <c r="B208" s="272" t="s">
        <v>82</v>
      </c>
      <c r="C208" s="345"/>
      <c r="D208" s="272"/>
      <c r="E208" s="272"/>
      <c r="F208" s="272"/>
      <c r="G208" s="272"/>
      <c r="H208" s="272"/>
      <c r="I208" s="272"/>
      <c r="J208" s="272"/>
      <c r="K208" s="343"/>
      <c r="L208" s="344">
        <f>'May 10'!L208+L207</f>
        <v>42</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2</v>
      </c>
      <c r="L210" s="331">
        <v>143</v>
      </c>
      <c r="M210" s="291"/>
      <c r="N210" s="337"/>
      <c r="O210" s="342"/>
      <c r="P210" s="5"/>
    </row>
    <row r="211" spans="1:17" ht="15.6" x14ac:dyDescent="0.3">
      <c r="A211" s="347"/>
      <c r="B211" s="263" t="s">
        <v>83</v>
      </c>
      <c r="C211" s="300"/>
      <c r="D211" s="263"/>
      <c r="E211" s="263"/>
      <c r="F211" s="263"/>
      <c r="G211" s="263"/>
      <c r="H211" s="263"/>
      <c r="I211" s="263"/>
      <c r="J211" s="263"/>
      <c r="K211" s="263"/>
      <c r="L211" s="339">
        <v>11.57</v>
      </c>
      <c r="M211" s="291"/>
      <c r="N211" s="337"/>
      <c r="O211" s="342"/>
      <c r="P211" s="5"/>
    </row>
    <row r="212" spans="1:17" ht="15.6" x14ac:dyDescent="0.3">
      <c r="A212" s="347"/>
      <c r="B212" s="263" t="s">
        <v>84</v>
      </c>
      <c r="C212" s="300"/>
      <c r="D212" s="263"/>
      <c r="E212" s="263"/>
      <c r="F212" s="263"/>
      <c r="G212" s="263"/>
      <c r="H212" s="263"/>
      <c r="I212" s="263"/>
      <c r="J212" s="263"/>
      <c r="K212" s="263"/>
      <c r="L212" s="339">
        <v>5.13</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67" t="s">
        <v>258</v>
      </c>
      <c r="C220" s="369"/>
      <c r="D220" s="369"/>
      <c r="E220" s="369"/>
      <c r="F220" s="369"/>
      <c r="G220" s="369"/>
      <c r="H220" s="369"/>
      <c r="I220" s="369"/>
      <c r="J220" s="382" t="s">
        <v>99</v>
      </c>
      <c r="K220" s="369" t="s">
        <v>100</v>
      </c>
      <c r="L220" s="378" t="s">
        <v>108</v>
      </c>
      <c r="M220" s="369" t="s">
        <v>100</v>
      </c>
      <c r="N220" s="361"/>
      <c r="O220" s="367"/>
      <c r="P220" s="5"/>
    </row>
    <row r="221" spans="1:17" ht="15.6" x14ac:dyDescent="0.3">
      <c r="A221" s="262"/>
      <c r="B221" s="264" t="s">
        <v>85</v>
      </c>
      <c r="C221" s="354"/>
      <c r="D221" s="354"/>
      <c r="E221" s="354"/>
      <c r="F221" s="354"/>
      <c r="G221" s="354"/>
      <c r="H221" s="354"/>
      <c r="I221" s="354"/>
      <c r="J221" s="264">
        <f t="shared" ref="J221:J233" si="1">+J238+J255+J272</f>
        <v>2575</v>
      </c>
      <c r="K221" s="355">
        <f>J221/$J$235</f>
        <v>0.94115497076023391</v>
      </c>
      <c r="L221" s="265">
        <f t="shared" ref="L221:L233" si="2">+L238+L255+L272</f>
        <v>101060</v>
      </c>
      <c r="M221" s="355">
        <f>L221/$L$235</f>
        <v>0.91267045967669103</v>
      </c>
      <c r="N221" s="332"/>
      <c r="O221" s="356"/>
      <c r="P221" s="5"/>
    </row>
    <row r="222" spans="1:17" ht="15.6" x14ac:dyDescent="0.3">
      <c r="A222" s="262"/>
      <c r="B222" s="264" t="s">
        <v>86</v>
      </c>
      <c r="C222" s="354"/>
      <c r="D222" s="354"/>
      <c r="E222" s="354"/>
      <c r="F222" s="354"/>
      <c r="G222" s="354"/>
      <c r="H222" s="354"/>
      <c r="I222" s="354"/>
      <c r="J222" s="264">
        <f t="shared" si="1"/>
        <v>47</v>
      </c>
      <c r="K222" s="355">
        <f t="shared" ref="K222:K233" si="3">J222/$J$235</f>
        <v>1.7178362573099414E-2</v>
      </c>
      <c r="L222" s="265">
        <f t="shared" si="2"/>
        <v>2383</v>
      </c>
      <c r="M222" s="355">
        <f t="shared" ref="M222:M233" si="4">L222/$L$235</f>
        <v>2.1520816400252867E-2</v>
      </c>
      <c r="N222" s="332"/>
      <c r="O222" s="356"/>
      <c r="P222" s="5"/>
      <c r="Q222" s="104"/>
    </row>
    <row r="223" spans="1:17" ht="15.6" x14ac:dyDescent="0.3">
      <c r="A223" s="262"/>
      <c r="B223" s="264" t="s">
        <v>87</v>
      </c>
      <c r="C223" s="354"/>
      <c r="D223" s="354"/>
      <c r="E223" s="354"/>
      <c r="F223" s="354"/>
      <c r="G223" s="354"/>
      <c r="H223" s="354"/>
      <c r="I223" s="354"/>
      <c r="J223" s="264">
        <f t="shared" si="1"/>
        <v>30</v>
      </c>
      <c r="K223" s="355">
        <f t="shared" si="3"/>
        <v>1.0964912280701754E-2</v>
      </c>
      <c r="L223" s="265">
        <f t="shared" si="2"/>
        <v>1549</v>
      </c>
      <c r="M223" s="355">
        <f t="shared" si="4"/>
        <v>1.3988982208976791E-2</v>
      </c>
      <c r="N223" s="332"/>
      <c r="O223" s="356"/>
      <c r="P223" s="5"/>
    </row>
    <row r="224" spans="1:17" ht="15.6" x14ac:dyDescent="0.3">
      <c r="A224" s="262"/>
      <c r="B224" s="264" t="s">
        <v>145</v>
      </c>
      <c r="C224" s="354"/>
      <c r="D224" s="354"/>
      <c r="E224" s="354"/>
      <c r="F224" s="354"/>
      <c r="G224" s="354"/>
      <c r="H224" s="354"/>
      <c r="I224" s="354"/>
      <c r="J224" s="264">
        <f t="shared" si="1"/>
        <v>18</v>
      </c>
      <c r="K224" s="355">
        <f t="shared" si="3"/>
        <v>6.5789473684210523E-3</v>
      </c>
      <c r="L224" s="265">
        <f t="shared" si="2"/>
        <v>1065</v>
      </c>
      <c r="M224" s="355">
        <f t="shared" si="4"/>
        <v>9.6179897046870765E-3</v>
      </c>
      <c r="N224" s="332"/>
      <c r="O224" s="356"/>
      <c r="P224" s="5"/>
      <c r="Q224" s="104"/>
    </row>
    <row r="225" spans="1:17" ht="15.6" x14ac:dyDescent="0.3">
      <c r="A225" s="262"/>
      <c r="B225" s="264" t="s">
        <v>146</v>
      </c>
      <c r="C225" s="354"/>
      <c r="D225" s="354"/>
      <c r="E225" s="354"/>
      <c r="F225" s="354"/>
      <c r="G225" s="354"/>
      <c r="H225" s="354"/>
      <c r="I225" s="354"/>
      <c r="J225" s="264">
        <f t="shared" si="1"/>
        <v>16</v>
      </c>
      <c r="K225" s="355">
        <f t="shared" si="3"/>
        <v>5.8479532163742687E-3</v>
      </c>
      <c r="L225" s="265">
        <f t="shared" si="2"/>
        <v>890</v>
      </c>
      <c r="M225" s="355">
        <f t="shared" si="4"/>
        <v>8.0375688611938959E-3</v>
      </c>
      <c r="N225" s="332"/>
      <c r="O225" s="356"/>
      <c r="P225" s="5"/>
    </row>
    <row r="226" spans="1:17" ht="15.6" x14ac:dyDescent="0.3">
      <c r="A226" s="262"/>
      <c r="B226" s="264" t="s">
        <v>147</v>
      </c>
      <c r="C226" s="354"/>
      <c r="D226" s="354"/>
      <c r="E226" s="354"/>
      <c r="F226" s="354"/>
      <c r="G226" s="354"/>
      <c r="H226" s="354"/>
      <c r="I226" s="354"/>
      <c r="J226" s="264">
        <f t="shared" si="1"/>
        <v>8</v>
      </c>
      <c r="K226" s="355">
        <f t="shared" si="3"/>
        <v>2.9239766081871343E-3</v>
      </c>
      <c r="L226" s="265">
        <f t="shared" si="2"/>
        <v>447</v>
      </c>
      <c r="M226" s="355">
        <f t="shared" si="4"/>
        <v>4.0368463830940124E-3</v>
      </c>
      <c r="N226" s="332"/>
      <c r="O226" s="356"/>
      <c r="P226" s="5"/>
      <c r="Q226" s="104"/>
    </row>
    <row r="227" spans="1:17" ht="15.6" x14ac:dyDescent="0.3">
      <c r="A227" s="262"/>
      <c r="B227" s="264" t="s">
        <v>227</v>
      </c>
      <c r="C227" s="354"/>
      <c r="D227" s="354"/>
      <c r="E227" s="354"/>
      <c r="F227" s="354"/>
      <c r="G227" s="354"/>
      <c r="H227" s="354"/>
      <c r="I227" s="354"/>
      <c r="J227" s="264">
        <f t="shared" si="1"/>
        <v>20</v>
      </c>
      <c r="K227" s="355">
        <f t="shared" si="3"/>
        <v>7.3099415204678359E-3</v>
      </c>
      <c r="L227" s="265">
        <f t="shared" si="2"/>
        <v>1122</v>
      </c>
      <c r="M227" s="355">
        <f t="shared" si="4"/>
        <v>1.0132755350853426E-2</v>
      </c>
      <c r="N227" s="332"/>
      <c r="O227" s="356"/>
      <c r="P227" s="5"/>
    </row>
    <row r="228" spans="1:17" ht="15.6" x14ac:dyDescent="0.3">
      <c r="A228" s="262"/>
      <c r="B228" s="264" t="s">
        <v>228</v>
      </c>
      <c r="C228" s="354"/>
      <c r="D228" s="354"/>
      <c r="E228" s="354"/>
      <c r="F228" s="354"/>
      <c r="G228" s="354"/>
      <c r="H228" s="354"/>
      <c r="I228" s="354"/>
      <c r="J228" s="264">
        <f t="shared" si="1"/>
        <v>7</v>
      </c>
      <c r="K228" s="355">
        <f t="shared" si="3"/>
        <v>2.5584795321637425E-3</v>
      </c>
      <c r="L228" s="265">
        <f t="shared" si="2"/>
        <v>332</v>
      </c>
      <c r="M228" s="355">
        <f t="shared" si="4"/>
        <v>2.998284114512779E-3</v>
      </c>
      <c r="N228" s="332"/>
      <c r="O228" s="356"/>
      <c r="P228" s="5"/>
      <c r="Q228" s="104"/>
    </row>
    <row r="229" spans="1:17" ht="15.6" x14ac:dyDescent="0.3">
      <c r="A229" s="262"/>
      <c r="B229" s="264" t="s">
        <v>229</v>
      </c>
      <c r="C229" s="354"/>
      <c r="D229" s="354"/>
      <c r="E229" s="354"/>
      <c r="F229" s="354"/>
      <c r="G229" s="354"/>
      <c r="H229" s="354"/>
      <c r="I229" s="354"/>
      <c r="J229" s="264">
        <f t="shared" si="1"/>
        <v>5</v>
      </c>
      <c r="K229" s="355">
        <f t="shared" si="3"/>
        <v>1.827485380116959E-3</v>
      </c>
      <c r="L229" s="265">
        <f t="shared" si="2"/>
        <v>341</v>
      </c>
      <c r="M229" s="355">
        <f t="shared" si="4"/>
        <v>3.0795629007495709E-3</v>
      </c>
      <c r="N229" s="332"/>
      <c r="O229" s="356"/>
      <c r="P229" s="5"/>
      <c r="Q229" s="104"/>
    </row>
    <row r="230" spans="1:17" ht="15.6" x14ac:dyDescent="0.3">
      <c r="A230" s="262"/>
      <c r="B230" s="264" t="s">
        <v>230</v>
      </c>
      <c r="C230" s="354"/>
      <c r="D230" s="354"/>
      <c r="E230" s="354"/>
      <c r="F230" s="354"/>
      <c r="G230" s="354"/>
      <c r="H230" s="354"/>
      <c r="I230" s="354"/>
      <c r="J230" s="264">
        <f t="shared" si="1"/>
        <v>3</v>
      </c>
      <c r="K230" s="355">
        <f t="shared" si="3"/>
        <v>1.0964912280701754E-3</v>
      </c>
      <c r="L230" s="265">
        <f t="shared" si="2"/>
        <v>1053</v>
      </c>
      <c r="M230" s="355">
        <f t="shared" si="4"/>
        <v>9.5096179897046877E-3</v>
      </c>
      <c r="N230" s="332"/>
      <c r="O230" s="356"/>
      <c r="P230" s="5"/>
      <c r="Q230" s="104"/>
    </row>
    <row r="231" spans="1:17" ht="15.6" x14ac:dyDescent="0.3">
      <c r="A231" s="262"/>
      <c r="B231" s="264" t="s">
        <v>231</v>
      </c>
      <c r="C231" s="354"/>
      <c r="D231" s="354"/>
      <c r="E231" s="354"/>
      <c r="F231" s="354"/>
      <c r="G231" s="354"/>
      <c r="H231" s="354"/>
      <c r="I231" s="354"/>
      <c r="J231" s="264">
        <f t="shared" si="1"/>
        <v>2</v>
      </c>
      <c r="K231" s="355">
        <f t="shared" si="3"/>
        <v>7.3099415204678359E-4</v>
      </c>
      <c r="L231" s="265">
        <f t="shared" si="2"/>
        <v>117</v>
      </c>
      <c r="M231" s="355">
        <f t="shared" si="4"/>
        <v>1.0566242210782986E-3</v>
      </c>
      <c r="N231" s="332"/>
      <c r="O231" s="356"/>
      <c r="P231" s="5"/>
      <c r="Q231" s="104"/>
    </row>
    <row r="232" spans="1:17" ht="15.6" x14ac:dyDescent="0.3">
      <c r="A232" s="262"/>
      <c r="B232" s="264" t="s">
        <v>232</v>
      </c>
      <c r="C232" s="354"/>
      <c r="D232" s="354"/>
      <c r="E232" s="354"/>
      <c r="F232" s="354"/>
      <c r="G232" s="354"/>
      <c r="H232" s="354"/>
      <c r="I232" s="354"/>
      <c r="J232" s="264">
        <f t="shared" si="1"/>
        <v>2</v>
      </c>
      <c r="K232" s="355">
        <f t="shared" si="3"/>
        <v>7.3099415204678359E-4</v>
      </c>
      <c r="L232" s="265">
        <f t="shared" si="2"/>
        <v>123</v>
      </c>
      <c r="M232" s="355">
        <f t="shared" si="4"/>
        <v>1.1108100785694934E-3</v>
      </c>
      <c r="N232" s="332"/>
      <c r="O232" s="356"/>
      <c r="P232" s="5"/>
      <c r="Q232" s="104"/>
    </row>
    <row r="233" spans="1:17" ht="15.6" x14ac:dyDescent="0.3">
      <c r="A233" s="262"/>
      <c r="B233" s="264" t="s">
        <v>233</v>
      </c>
      <c r="C233" s="354"/>
      <c r="D233" s="354"/>
      <c r="E233" s="354"/>
      <c r="F233" s="354"/>
      <c r="G233" s="354"/>
      <c r="H233" s="354"/>
      <c r="I233" s="354"/>
      <c r="J233" s="264">
        <f t="shared" si="1"/>
        <v>3</v>
      </c>
      <c r="K233" s="355">
        <f t="shared" si="3"/>
        <v>1.0964912280701754E-3</v>
      </c>
      <c r="L233" s="265">
        <f t="shared" si="2"/>
        <v>248</v>
      </c>
      <c r="M233" s="355">
        <f t="shared" si="4"/>
        <v>2.2396821096360518E-3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2736</v>
      </c>
      <c r="K235" s="355">
        <f>SUM(K221:K234)</f>
        <v>1</v>
      </c>
      <c r="L235" s="265">
        <f>SUM(L221:L234)</f>
        <v>110730</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67" t="s">
        <v>149</v>
      </c>
      <c r="C237" s="369"/>
      <c r="D237" s="369"/>
      <c r="E237" s="369"/>
      <c r="F237" s="369"/>
      <c r="G237" s="369"/>
      <c r="H237" s="369"/>
      <c r="I237" s="369"/>
      <c r="J237" s="382" t="s">
        <v>99</v>
      </c>
      <c r="K237" s="369" t="s">
        <v>100</v>
      </c>
      <c r="L237" s="378" t="s">
        <v>108</v>
      </c>
      <c r="M237" s="369" t="s">
        <v>100</v>
      </c>
      <c r="N237" s="361"/>
      <c r="O237" s="367"/>
      <c r="P237" s="5"/>
    </row>
    <row r="238" spans="1:17" ht="15.6" x14ac:dyDescent="0.3">
      <c r="A238" s="262"/>
      <c r="B238" s="264" t="s">
        <v>85</v>
      </c>
      <c r="C238" s="354"/>
      <c r="D238" s="354"/>
      <c r="E238" s="354"/>
      <c r="F238" s="354"/>
      <c r="G238" s="354"/>
      <c r="H238" s="354"/>
      <c r="I238" s="354"/>
      <c r="J238" s="264">
        <v>2575</v>
      </c>
      <c r="K238" s="355">
        <f t="shared" ref="K238:K250" si="5">J238/$J$252</f>
        <v>0.94253294289897516</v>
      </c>
      <c r="L238" s="265">
        <v>101060</v>
      </c>
      <c r="M238" s="355">
        <f t="shared" ref="M238:M250" si="6">L238/$L$252</f>
        <v>0.91386716100736987</v>
      </c>
      <c r="N238" s="332"/>
      <c r="O238" s="356"/>
      <c r="P238" s="5"/>
    </row>
    <row r="239" spans="1:17" ht="15.6" x14ac:dyDescent="0.3">
      <c r="A239" s="262"/>
      <c r="B239" s="264" t="s">
        <v>86</v>
      </c>
      <c r="C239" s="354"/>
      <c r="D239" s="354"/>
      <c r="E239" s="354"/>
      <c r="F239" s="354"/>
      <c r="G239" s="354"/>
      <c r="H239" s="354"/>
      <c r="I239" s="354"/>
      <c r="J239" s="264">
        <v>47</v>
      </c>
      <c r="K239" s="355">
        <f t="shared" si="5"/>
        <v>1.7203513909224012E-2</v>
      </c>
      <c r="L239" s="265">
        <v>2383</v>
      </c>
      <c r="M239" s="355">
        <f t="shared" si="6"/>
        <v>2.154903467920604E-2</v>
      </c>
      <c r="N239" s="332"/>
      <c r="O239" s="356"/>
      <c r="P239" s="5"/>
      <c r="Q239" s="104"/>
    </row>
    <row r="240" spans="1:17" ht="15.6" x14ac:dyDescent="0.3">
      <c r="A240" s="262"/>
      <c r="B240" s="264" t="s">
        <v>87</v>
      </c>
      <c r="C240" s="354"/>
      <c r="D240" s="354"/>
      <c r="E240" s="354"/>
      <c r="F240" s="354"/>
      <c r="G240" s="354"/>
      <c r="H240" s="354"/>
      <c r="I240" s="354"/>
      <c r="J240" s="264">
        <v>30</v>
      </c>
      <c r="K240" s="355">
        <f t="shared" si="5"/>
        <v>1.0980966325036604E-2</v>
      </c>
      <c r="L240" s="265">
        <v>1549</v>
      </c>
      <c r="M240" s="355">
        <f t="shared" si="6"/>
        <v>1.4007324682371028E-2</v>
      </c>
      <c r="N240" s="332"/>
      <c r="O240" s="356"/>
      <c r="P240" s="5"/>
    </row>
    <row r="241" spans="1:17" ht="15.6" x14ac:dyDescent="0.3">
      <c r="A241" s="262"/>
      <c r="B241" s="264" t="s">
        <v>145</v>
      </c>
      <c r="C241" s="354"/>
      <c r="D241" s="354"/>
      <c r="E241" s="354"/>
      <c r="F241" s="354"/>
      <c r="G241" s="354"/>
      <c r="H241" s="354"/>
      <c r="I241" s="354"/>
      <c r="J241" s="264">
        <v>18</v>
      </c>
      <c r="K241" s="355">
        <f t="shared" si="5"/>
        <v>6.5885797950219621E-3</v>
      </c>
      <c r="L241" s="265">
        <v>1065</v>
      </c>
      <c r="M241" s="355">
        <f t="shared" si="6"/>
        <v>9.6306008952389572E-3</v>
      </c>
      <c r="N241" s="332"/>
      <c r="O241" s="356"/>
      <c r="P241" s="5"/>
      <c r="Q241" s="104"/>
    </row>
    <row r="242" spans="1:17" ht="15.6" x14ac:dyDescent="0.3">
      <c r="A242" s="262"/>
      <c r="B242" s="264" t="s">
        <v>146</v>
      </c>
      <c r="C242" s="354"/>
      <c r="D242" s="354"/>
      <c r="E242" s="354"/>
      <c r="F242" s="354"/>
      <c r="G242" s="354"/>
      <c r="H242" s="354"/>
      <c r="I242" s="354"/>
      <c r="J242" s="264">
        <v>15</v>
      </c>
      <c r="K242" s="355">
        <f t="shared" si="5"/>
        <v>5.4904831625183018E-3</v>
      </c>
      <c r="L242" s="265">
        <v>827</v>
      </c>
      <c r="M242" s="355">
        <f t="shared" si="6"/>
        <v>7.4784102726409545E-3</v>
      </c>
      <c r="N242" s="332"/>
      <c r="O242" s="356"/>
      <c r="P242" s="5"/>
    </row>
    <row r="243" spans="1:17" ht="15.6" x14ac:dyDescent="0.3">
      <c r="A243" s="262"/>
      <c r="B243" s="264" t="s">
        <v>147</v>
      </c>
      <c r="C243" s="354"/>
      <c r="D243" s="354"/>
      <c r="E243" s="354"/>
      <c r="F243" s="354"/>
      <c r="G243" s="354"/>
      <c r="H243" s="354"/>
      <c r="I243" s="354"/>
      <c r="J243" s="264">
        <v>8</v>
      </c>
      <c r="K243" s="355">
        <f t="shared" si="5"/>
        <v>2.9282576866764276E-3</v>
      </c>
      <c r="L243" s="265">
        <v>447</v>
      </c>
      <c r="M243" s="355">
        <f t="shared" si="6"/>
        <v>4.0421395306777588E-3</v>
      </c>
      <c r="N243" s="332"/>
      <c r="O243" s="356"/>
      <c r="P243" s="5"/>
      <c r="Q243" s="104"/>
    </row>
    <row r="244" spans="1:17" ht="15.6" x14ac:dyDescent="0.3">
      <c r="A244" s="262"/>
      <c r="B244" s="264" t="s">
        <v>227</v>
      </c>
      <c r="C244" s="354"/>
      <c r="D244" s="354"/>
      <c r="E244" s="354"/>
      <c r="F244" s="354"/>
      <c r="G244" s="354"/>
      <c r="H244" s="354"/>
      <c r="I244" s="354"/>
      <c r="J244" s="264">
        <v>20</v>
      </c>
      <c r="K244" s="355">
        <f t="shared" si="5"/>
        <v>7.320644216691069E-3</v>
      </c>
      <c r="L244" s="265">
        <v>1122</v>
      </c>
      <c r="M244" s="355">
        <f t="shared" si="6"/>
        <v>1.0146041506533436E-2</v>
      </c>
      <c r="N244" s="332"/>
      <c r="O244" s="356"/>
      <c r="P244" s="5"/>
    </row>
    <row r="245" spans="1:17" ht="15.6" x14ac:dyDescent="0.3">
      <c r="A245" s="262"/>
      <c r="B245" s="264" t="s">
        <v>228</v>
      </c>
      <c r="C245" s="354"/>
      <c r="D245" s="354"/>
      <c r="E245" s="354"/>
      <c r="F245" s="354"/>
      <c r="G245" s="354"/>
      <c r="H245" s="354"/>
      <c r="I245" s="354"/>
      <c r="J245" s="264">
        <v>7</v>
      </c>
      <c r="K245" s="355">
        <f t="shared" si="5"/>
        <v>2.5622254758418742E-3</v>
      </c>
      <c r="L245" s="265">
        <v>332</v>
      </c>
      <c r="M245" s="355">
        <f t="shared" si="6"/>
        <v>3.0022154903467922E-3</v>
      </c>
      <c r="N245" s="332"/>
      <c r="O245" s="356"/>
      <c r="P245" s="5"/>
      <c r="Q245" s="104"/>
    </row>
    <row r="246" spans="1:17" ht="15.6" x14ac:dyDescent="0.3">
      <c r="A246" s="262"/>
      <c r="B246" s="264" t="s">
        <v>229</v>
      </c>
      <c r="C246" s="354"/>
      <c r="D246" s="354"/>
      <c r="E246" s="354"/>
      <c r="F246" s="354"/>
      <c r="G246" s="354"/>
      <c r="H246" s="354"/>
      <c r="I246" s="354"/>
      <c r="J246" s="264">
        <v>4</v>
      </c>
      <c r="K246" s="355">
        <f t="shared" si="5"/>
        <v>1.4641288433382138E-3</v>
      </c>
      <c r="L246" s="265">
        <v>318</v>
      </c>
      <c r="M246" s="355">
        <f t="shared" si="6"/>
        <v>2.8756160419586745E-3</v>
      </c>
      <c r="N246" s="332"/>
      <c r="O246" s="356"/>
      <c r="P246" s="5"/>
      <c r="Q246" s="104"/>
    </row>
    <row r="247" spans="1:17" ht="15.6" x14ac:dyDescent="0.3">
      <c r="A247" s="262"/>
      <c r="B247" s="264" t="s">
        <v>230</v>
      </c>
      <c r="C247" s="354"/>
      <c r="D247" s="354"/>
      <c r="E247" s="354"/>
      <c r="F247" s="354"/>
      <c r="G247" s="354"/>
      <c r="H247" s="354"/>
      <c r="I247" s="354"/>
      <c r="J247" s="264">
        <v>2</v>
      </c>
      <c r="K247" s="355">
        <f t="shared" si="5"/>
        <v>7.320644216691069E-4</v>
      </c>
      <c r="L247" s="265">
        <v>1030</v>
      </c>
      <c r="M247" s="355">
        <f t="shared" si="6"/>
        <v>9.3141022742686628E-3</v>
      </c>
      <c r="N247" s="332"/>
      <c r="O247" s="356"/>
      <c r="P247" s="5"/>
      <c r="Q247" s="104"/>
    </row>
    <row r="248" spans="1:17" ht="15.6" x14ac:dyDescent="0.3">
      <c r="A248" s="262"/>
      <c r="B248" s="264" t="s">
        <v>231</v>
      </c>
      <c r="C248" s="354"/>
      <c r="D248" s="354"/>
      <c r="E248" s="354"/>
      <c r="F248" s="354"/>
      <c r="G248" s="354"/>
      <c r="H248" s="354"/>
      <c r="I248" s="354"/>
      <c r="J248" s="264">
        <v>2</v>
      </c>
      <c r="K248" s="355">
        <f t="shared" si="5"/>
        <v>7.320644216691069E-4</v>
      </c>
      <c r="L248" s="265">
        <v>117</v>
      </c>
      <c r="M248" s="355">
        <f t="shared" si="6"/>
        <v>1.058009675814984E-3</v>
      </c>
      <c r="N248" s="332"/>
      <c r="O248" s="356"/>
      <c r="P248" s="5"/>
      <c r="Q248" s="104"/>
    </row>
    <row r="249" spans="1:17" ht="15.6" x14ac:dyDescent="0.3">
      <c r="A249" s="262"/>
      <c r="B249" s="264" t="s">
        <v>232</v>
      </c>
      <c r="C249" s="354"/>
      <c r="D249" s="354"/>
      <c r="E249" s="354"/>
      <c r="F249" s="354"/>
      <c r="G249" s="354"/>
      <c r="H249" s="354"/>
      <c r="I249" s="354"/>
      <c r="J249" s="264">
        <v>1</v>
      </c>
      <c r="K249" s="355">
        <f t="shared" si="5"/>
        <v>3.6603221083455345E-4</v>
      </c>
      <c r="L249" s="265">
        <v>87</v>
      </c>
      <c r="M249" s="355">
        <f t="shared" si="6"/>
        <v>7.8672514355473163E-4</v>
      </c>
      <c r="N249" s="332"/>
      <c r="O249" s="356"/>
      <c r="P249" s="5"/>
      <c r="Q249" s="104"/>
    </row>
    <row r="250" spans="1:17" ht="15.6" x14ac:dyDescent="0.3">
      <c r="A250" s="262"/>
      <c r="B250" s="264" t="s">
        <v>233</v>
      </c>
      <c r="C250" s="354"/>
      <c r="D250" s="354"/>
      <c r="E250" s="354"/>
      <c r="F250" s="354"/>
      <c r="G250" s="354"/>
      <c r="H250" s="354"/>
      <c r="I250" s="354"/>
      <c r="J250" s="264">
        <v>3</v>
      </c>
      <c r="K250" s="355">
        <f t="shared" si="5"/>
        <v>1.0980966325036604E-3</v>
      </c>
      <c r="L250" s="265">
        <v>248</v>
      </c>
      <c r="M250" s="355">
        <f t="shared" si="6"/>
        <v>2.2426188000180857E-3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2732</v>
      </c>
      <c r="K252" s="355">
        <f>SUM(K238:K251)</f>
        <v>1</v>
      </c>
      <c r="L252" s="265">
        <f>SUM(L238:L251)</f>
        <v>110585</v>
      </c>
      <c r="M252" s="355">
        <f>SUM(M238:M251)</f>
        <v>0.99999999999999967</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67" t="s">
        <v>204</v>
      </c>
      <c r="C254" s="369"/>
      <c r="D254" s="369"/>
      <c r="E254" s="369"/>
      <c r="F254" s="369"/>
      <c r="G254" s="369"/>
      <c r="H254" s="369"/>
      <c r="I254" s="369"/>
      <c r="J254" s="382" t="s">
        <v>99</v>
      </c>
      <c r="K254" s="369" t="s">
        <v>100</v>
      </c>
      <c r="L254" s="378" t="s">
        <v>108</v>
      </c>
      <c r="M254" s="36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67" t="s">
        <v>150</v>
      </c>
      <c r="C271" s="379"/>
      <c r="D271" s="381"/>
      <c r="E271" s="381"/>
      <c r="F271" s="381"/>
      <c r="G271" s="381"/>
      <c r="H271" s="381"/>
      <c r="I271" s="381"/>
      <c r="J271" s="382" t="s">
        <v>99</v>
      </c>
      <c r="K271" s="369" t="s">
        <v>100</v>
      </c>
      <c r="L271" s="378" t="s">
        <v>108</v>
      </c>
      <c r="M271" s="36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1</v>
      </c>
      <c r="K276" s="355">
        <f t="shared" si="7"/>
        <v>0.25</v>
      </c>
      <c r="L276" s="265">
        <v>63</v>
      </c>
      <c r="M276" s="355">
        <f t="shared" si="8"/>
        <v>0.43448275862068964</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1</v>
      </c>
      <c r="K280" s="355">
        <f t="shared" si="7"/>
        <v>0.25</v>
      </c>
      <c r="L280" s="265">
        <v>23</v>
      </c>
      <c r="M280" s="355">
        <f t="shared" si="8"/>
        <v>0.15862068965517243</v>
      </c>
      <c r="N280" s="263"/>
      <c r="O280" s="266"/>
      <c r="P280" s="5"/>
    </row>
    <row r="281" spans="1:16" ht="15.6" x14ac:dyDescent="0.3">
      <c r="A281" s="262"/>
      <c r="B281" s="264" t="s">
        <v>230</v>
      </c>
      <c r="C281" s="263"/>
      <c r="D281" s="357"/>
      <c r="E281" s="357"/>
      <c r="F281" s="357"/>
      <c r="G281" s="357"/>
      <c r="H281" s="357"/>
      <c r="I281" s="357"/>
      <c r="J281" s="264">
        <v>1</v>
      </c>
      <c r="K281" s="355">
        <f t="shared" si="7"/>
        <v>0.25</v>
      </c>
      <c r="L281" s="265">
        <v>23</v>
      </c>
      <c r="M281" s="355">
        <f t="shared" si="8"/>
        <v>0.15862068965517243</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1</v>
      </c>
      <c r="K283" s="355">
        <f t="shared" si="7"/>
        <v>0.25</v>
      </c>
      <c r="L283" s="265">
        <v>36</v>
      </c>
      <c r="M283" s="355">
        <f t="shared" si="8"/>
        <v>0.24827586206896551</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4</v>
      </c>
      <c r="K286" s="355">
        <f>SUM(K272:K284)</f>
        <v>1</v>
      </c>
      <c r="L286" s="265">
        <f>SUM(L272:L284)</f>
        <v>145</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7" t="s">
        <v>151</v>
      </c>
      <c r="C288" s="263"/>
      <c r="D288" s="357"/>
      <c r="E288" s="357"/>
      <c r="F288" s="357"/>
      <c r="G288" s="357"/>
      <c r="H288" s="357"/>
      <c r="I288" s="357"/>
      <c r="J288" s="358">
        <f>J286+J269+J252</f>
        <v>2736</v>
      </c>
      <c r="K288" s="355"/>
      <c r="L288" s="359">
        <f>+L286+L269+L252</f>
        <v>110730</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89</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239</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90</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AUGUST 2010</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honeticPr fontId="0" type="noConversion"/>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sheetPr>
  <dimension ref="A1:IV299"/>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5.2600000000000001E-2</v>
      </c>
      <c r="L16" s="232" t="s">
        <v>133</v>
      </c>
      <c r="M16" s="231">
        <v>0.94740000000000002</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40529</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3"/>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72" t="s">
        <v>162</v>
      </c>
      <c r="C24" s="273"/>
      <c r="D24" s="267" t="s">
        <v>134</v>
      </c>
      <c r="E24" s="267"/>
      <c r="F24" s="267" t="s">
        <v>152</v>
      </c>
      <c r="G24" s="267"/>
      <c r="H24" s="267" t="s">
        <v>135</v>
      </c>
      <c r="I24" s="267"/>
      <c r="J24" s="267"/>
      <c r="K24" s="273"/>
      <c r="L24" s="267"/>
      <c r="M24" s="268"/>
      <c r="N24" s="269"/>
      <c r="O24" s="270"/>
      <c r="P24" s="5"/>
    </row>
    <row r="25" spans="1:16" ht="15.6" x14ac:dyDescent="0.3">
      <c r="A25" s="274"/>
      <c r="B25" s="275" t="s">
        <v>163</v>
      </c>
      <c r="C25" s="267"/>
      <c r="D25" s="273" t="s">
        <v>134</v>
      </c>
      <c r="E25" s="273"/>
      <c r="F25" s="273" t="s">
        <v>152</v>
      </c>
      <c r="G25" s="273"/>
      <c r="H25" s="273" t="s">
        <v>135</v>
      </c>
      <c r="I25" s="273"/>
      <c r="J25" s="273"/>
      <c r="K25" s="267"/>
      <c r="L25" s="276"/>
      <c r="M25" s="268"/>
      <c r="N25" s="268"/>
      <c r="O25" s="266"/>
      <c r="P25" s="5"/>
    </row>
    <row r="26" spans="1:16" ht="15.6" x14ac:dyDescent="0.3">
      <c r="A26" s="274"/>
      <c r="B26" s="277" t="s">
        <v>164</v>
      </c>
      <c r="C26" s="267"/>
      <c r="D26" s="273" t="s">
        <v>134</v>
      </c>
      <c r="E26" s="273"/>
      <c r="F26" s="273" t="s">
        <v>152</v>
      </c>
      <c r="G26" s="273"/>
      <c r="H26" s="273" t="s">
        <v>135</v>
      </c>
      <c r="I26" s="273"/>
      <c r="J26" s="273"/>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87">
        <f>SUM(D28:H28)</f>
        <v>268600</v>
      </c>
      <c r="O28" s="281"/>
      <c r="P28" s="5"/>
    </row>
    <row r="29" spans="1:16" ht="15.6" x14ac:dyDescent="0.3">
      <c r="A29" s="274"/>
      <c r="B29" s="263" t="s">
        <v>128</v>
      </c>
      <c r="C29" s="278"/>
      <c r="D29" s="279">
        <f>D28*D32</f>
        <v>104086.57829999999</v>
      </c>
      <c r="E29" s="279"/>
      <c r="F29" s="279">
        <f>F28*F32</f>
        <v>3321.84888</v>
      </c>
      <c r="G29" s="279"/>
      <c r="H29" s="279">
        <f>H28*H32</f>
        <v>3321.84888</v>
      </c>
      <c r="I29" s="279"/>
      <c r="J29" s="284"/>
      <c r="K29" s="279"/>
      <c r="L29" s="279"/>
      <c r="M29" s="280"/>
      <c r="N29" s="279">
        <f>SUM(D29:H29)</f>
        <v>110730.27606</v>
      </c>
      <c r="O29" s="281"/>
      <c r="P29" s="5"/>
    </row>
    <row r="30" spans="1:16" ht="15.6" x14ac:dyDescent="0.3">
      <c r="A30" s="274"/>
      <c r="B30" s="275" t="s">
        <v>130</v>
      </c>
      <c r="C30" s="278"/>
      <c r="D30" s="285">
        <f>D28*D31</f>
        <v>99762.8514</v>
      </c>
      <c r="E30" s="285"/>
      <c r="F30" s="285">
        <f>F28*F31</f>
        <v>3183.8564699999997</v>
      </c>
      <c r="G30" s="285"/>
      <c r="H30" s="285">
        <f>H28*H31</f>
        <v>3183.8564699999997</v>
      </c>
      <c r="I30" s="285"/>
      <c r="J30" s="288"/>
      <c r="K30" s="279"/>
      <c r="L30" s="279"/>
      <c r="M30" s="280"/>
      <c r="N30" s="289">
        <f>SUM(D30:I30)</f>
        <v>106130.56434</v>
      </c>
      <c r="O30" s="281"/>
      <c r="P30" s="5"/>
    </row>
    <row r="31" spans="1:16" ht="15.6" x14ac:dyDescent="0.3">
      <c r="A31" s="262"/>
      <c r="B31" s="290" t="s">
        <v>126</v>
      </c>
      <c r="C31" s="291"/>
      <c r="D31" s="292">
        <v>0.3829668</v>
      </c>
      <c r="E31" s="292"/>
      <c r="F31" s="292">
        <v>0.78613739999999999</v>
      </c>
      <c r="G31" s="292"/>
      <c r="H31" s="292">
        <v>0.78613739999999999</v>
      </c>
      <c r="I31" s="293"/>
      <c r="J31" s="293"/>
      <c r="K31" s="294"/>
      <c r="L31" s="294"/>
      <c r="M31" s="269"/>
      <c r="N31" s="269"/>
      <c r="O31" s="270"/>
      <c r="P31" s="5"/>
    </row>
    <row r="32" spans="1:16" ht="15.6" x14ac:dyDescent="0.3">
      <c r="A32" s="262"/>
      <c r="B32" s="290" t="s">
        <v>127</v>
      </c>
      <c r="C32" s="291"/>
      <c r="D32" s="292">
        <v>0.39956459999999999</v>
      </c>
      <c r="E32" s="292"/>
      <c r="F32" s="292">
        <v>0.82020959999999998</v>
      </c>
      <c r="G32" s="292"/>
      <c r="H32" s="292">
        <v>0.82020959999999998</v>
      </c>
      <c r="I32" s="293"/>
      <c r="J32" s="293"/>
      <c r="K32" s="295"/>
      <c r="L32" s="296"/>
      <c r="M32" s="269"/>
      <c r="N32" s="295"/>
      <c r="O32" s="270"/>
      <c r="P32" s="5"/>
    </row>
    <row r="33" spans="1:17" ht="15.6" x14ac:dyDescent="0.3">
      <c r="A33" s="274"/>
      <c r="B33" s="263" t="s">
        <v>9</v>
      </c>
      <c r="C33" s="263"/>
      <c r="D33" s="276" t="s">
        <v>192</v>
      </c>
      <c r="E33" s="276"/>
      <c r="F33" s="276" t="s">
        <v>194</v>
      </c>
      <c r="G33" s="276"/>
      <c r="H33" s="276" t="s">
        <v>196</v>
      </c>
      <c r="I33" s="276"/>
      <c r="J33" s="276"/>
      <c r="K33" s="297"/>
      <c r="L33" s="298"/>
      <c r="M33" s="268"/>
      <c r="N33" s="268"/>
      <c r="O33" s="266"/>
      <c r="P33" s="5"/>
    </row>
    <row r="34" spans="1:17" ht="15.6" x14ac:dyDescent="0.3">
      <c r="A34" s="274"/>
      <c r="B34" s="263" t="s">
        <v>10</v>
      </c>
      <c r="C34" s="263"/>
      <c r="D34" s="298">
        <v>8.4469000000000002E-3</v>
      </c>
      <c r="E34" s="297"/>
      <c r="F34" s="298">
        <v>9.0469000000000001E-3</v>
      </c>
      <c r="G34" s="297"/>
      <c r="H34" s="298">
        <v>1.0046899999999999E-2</v>
      </c>
      <c r="I34" s="297"/>
      <c r="J34" s="298"/>
      <c r="K34" s="297"/>
      <c r="L34" s="298"/>
      <c r="M34" s="268"/>
      <c r="N34" s="297">
        <f>SUMPRODUCT(D34:H34,D29:H29)/N29</f>
        <v>8.5128988197992021E-3</v>
      </c>
      <c r="O34" s="266"/>
      <c r="P34" s="5"/>
    </row>
    <row r="35" spans="1:17" ht="15.6" x14ac:dyDescent="0.3">
      <c r="A35" s="274"/>
      <c r="B35" s="263" t="s">
        <v>11</v>
      </c>
      <c r="C35" s="263"/>
      <c r="D35" s="298">
        <v>8.5000000000000006E-3</v>
      </c>
      <c r="E35" s="297"/>
      <c r="F35" s="298">
        <v>9.1000000000000004E-3</v>
      </c>
      <c r="G35" s="297"/>
      <c r="H35" s="298">
        <v>1.01E-2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6.3828497788907423E-2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40527</v>
      </c>
      <c r="O45" s="266"/>
      <c r="P45" s="5"/>
    </row>
    <row r="46" spans="1:17" ht="15.6" x14ac:dyDescent="0.3">
      <c r="A46" s="274"/>
      <c r="B46" s="263" t="s">
        <v>119</v>
      </c>
      <c r="C46" s="263"/>
      <c r="D46" s="305"/>
      <c r="E46" s="305"/>
      <c r="F46" s="305"/>
      <c r="G46" s="305"/>
      <c r="H46" s="305"/>
      <c r="I46" s="305"/>
      <c r="J46" s="263">
        <f>+N46-L46+1</f>
        <v>92</v>
      </c>
      <c r="K46" s="305"/>
      <c r="L46" s="306">
        <v>40344</v>
      </c>
      <c r="M46" s="307"/>
      <c r="N46" s="306">
        <v>40435</v>
      </c>
      <c r="O46" s="266"/>
      <c r="P46" s="5"/>
    </row>
    <row r="47" spans="1:17" ht="15.6" x14ac:dyDescent="0.3">
      <c r="A47" s="274"/>
      <c r="B47" s="263" t="s">
        <v>120</v>
      </c>
      <c r="C47" s="263"/>
      <c r="D47" s="263"/>
      <c r="E47" s="263"/>
      <c r="F47" s="263"/>
      <c r="G47" s="263"/>
      <c r="H47" s="263"/>
      <c r="I47" s="263"/>
      <c r="J47" s="263">
        <f>+N47-L47+1</f>
        <v>91</v>
      </c>
      <c r="K47" s="263"/>
      <c r="L47" s="306">
        <v>40436</v>
      </c>
      <c r="M47" s="307"/>
      <c r="N47" s="306">
        <v>40526</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40513</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259</v>
      </c>
      <c r="C52" s="243"/>
      <c r="D52" s="243"/>
      <c r="E52" s="243"/>
      <c r="F52" s="243"/>
      <c r="G52" s="243"/>
      <c r="H52" s="243"/>
      <c r="I52" s="243"/>
      <c r="J52" s="243"/>
      <c r="K52" s="243"/>
      <c r="L52" s="243"/>
      <c r="M52" s="243"/>
      <c r="N52" s="244"/>
      <c r="O52" s="245"/>
      <c r="P52" s="5"/>
    </row>
    <row r="53" spans="1:16" ht="15.6" x14ac:dyDescent="0.3">
      <c r="A53" s="360"/>
      <c r="B53" s="36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110730</v>
      </c>
      <c r="G56" s="264"/>
      <c r="H56" s="264">
        <f>4599+1117+593</f>
        <v>6309</v>
      </c>
      <c r="I56" s="264"/>
      <c r="J56" s="264">
        <f>1117+593</f>
        <v>1710</v>
      </c>
      <c r="K56" s="264"/>
      <c r="L56" s="264">
        <v>0</v>
      </c>
      <c r="M56" s="264"/>
      <c r="N56" s="265">
        <f>+F56-H56+J56-L56</f>
        <v>106131</v>
      </c>
      <c r="O56" s="266"/>
      <c r="P56" s="5"/>
    </row>
    <row r="57" spans="1:16" ht="15.6" x14ac:dyDescent="0.3">
      <c r="A57" s="262"/>
      <c r="B57" s="263" t="s">
        <v>209</v>
      </c>
      <c r="C57" s="264"/>
      <c r="D57" s="264">
        <v>756</v>
      </c>
      <c r="E57" s="264"/>
      <c r="F57" s="265">
        <v>462</v>
      </c>
      <c r="G57" s="264"/>
      <c r="H57" s="264">
        <v>4</v>
      </c>
      <c r="I57" s="264"/>
      <c r="J57" s="264">
        <v>0</v>
      </c>
      <c r="K57" s="264"/>
      <c r="L57" s="264">
        <v>0</v>
      </c>
      <c r="M57" s="264"/>
      <c r="N57" s="265">
        <f>+F57-H57</f>
        <v>458</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111192</v>
      </c>
      <c r="G59" s="264"/>
      <c r="H59" s="264">
        <f>SUM(H56:H58)</f>
        <v>6313</v>
      </c>
      <c r="I59" s="264"/>
      <c r="J59" s="264">
        <f>SUM(J56:J58)</f>
        <v>1710</v>
      </c>
      <c r="K59" s="264"/>
      <c r="L59" s="264">
        <f>SUM(L56:L58)</f>
        <v>0</v>
      </c>
      <c r="M59" s="264"/>
      <c r="N59" s="264">
        <f>SUM(N56:N58)</f>
        <v>106589</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-462</v>
      </c>
      <c r="G68" s="264"/>
      <c r="H68" s="264"/>
      <c r="I68" s="264"/>
      <c r="J68" s="264"/>
      <c r="K68" s="264"/>
      <c r="L68" s="264"/>
      <c r="M68" s="264"/>
      <c r="N68" s="265">
        <f>-N57</f>
        <v>-458</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110730</v>
      </c>
      <c r="G72" s="264"/>
      <c r="H72" s="264"/>
      <c r="I72" s="264"/>
      <c r="J72" s="264"/>
      <c r="K72" s="264"/>
      <c r="L72" s="264"/>
      <c r="M72" s="264"/>
      <c r="N72" s="264">
        <f>SUM(N59:N71)</f>
        <v>106131</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67" t="s">
        <v>25</v>
      </c>
      <c r="C75" s="367"/>
      <c r="D75" s="368" t="s">
        <v>92</v>
      </c>
      <c r="E75" s="369"/>
      <c r="F75" s="370">
        <f>+L183</f>
        <v>40512</v>
      </c>
      <c r="G75" s="369"/>
      <c r="H75" s="369"/>
      <c r="I75" s="369"/>
      <c r="J75" s="369"/>
      <c r="K75" s="369"/>
      <c r="L75" s="369" t="s">
        <v>105</v>
      </c>
      <c r="M75" s="369"/>
      <c r="N75" s="36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6309+5</f>
        <v>6314</v>
      </c>
      <c r="M77" s="263"/>
      <c r="N77" s="265"/>
      <c r="O77" s="266"/>
      <c r="P77" s="5"/>
    </row>
    <row r="78" spans="1:16" ht="15.6" x14ac:dyDescent="0.3">
      <c r="A78" s="262"/>
      <c r="B78" s="263" t="s">
        <v>176</v>
      </c>
      <c r="C78" s="263"/>
      <c r="D78" s="300"/>
      <c r="E78" s="263"/>
      <c r="F78" s="309"/>
      <c r="G78" s="263"/>
      <c r="H78" s="263"/>
      <c r="I78" s="263"/>
      <c r="J78" s="263"/>
      <c r="K78" s="263"/>
      <c r="L78" s="264"/>
      <c r="M78" s="263"/>
      <c r="N78" s="265">
        <f>2811+255+1305-2991-186-596</f>
        <v>598</v>
      </c>
      <c r="O78" s="266"/>
      <c r="P78" s="5"/>
    </row>
    <row r="79" spans="1:16" ht="15.6" x14ac:dyDescent="0.3">
      <c r="A79" s="262"/>
      <c r="B79" s="263" t="s">
        <v>174</v>
      </c>
      <c r="C79" s="263"/>
      <c r="D79" s="300"/>
      <c r="E79" s="263"/>
      <c r="F79" s="309"/>
      <c r="G79" s="263"/>
      <c r="H79" s="263"/>
      <c r="I79" s="263"/>
      <c r="J79" s="263"/>
      <c r="K79" s="263"/>
      <c r="L79" s="264"/>
      <c r="M79" s="263"/>
      <c r="N79" s="265">
        <f>111+2+21</f>
        <v>134</v>
      </c>
      <c r="O79" s="266"/>
      <c r="P79" s="5"/>
    </row>
    <row r="80" spans="1:16" ht="15.6" x14ac:dyDescent="0.3">
      <c r="A80" s="262"/>
      <c r="B80" s="263" t="s">
        <v>175</v>
      </c>
      <c r="C80" s="263"/>
      <c r="D80" s="300"/>
      <c r="E80" s="263"/>
      <c r="F80" s="309"/>
      <c r="G80" s="263"/>
      <c r="H80" s="263"/>
      <c r="I80" s="263"/>
      <c r="J80" s="263"/>
      <c r="K80" s="263"/>
      <c r="L80" s="264"/>
      <c r="M80" s="263"/>
      <c r="N80" s="265">
        <v>7</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6314</v>
      </c>
      <c r="M83" s="263"/>
      <c r="N83" s="264">
        <f>SUM(N76:N82)</f>
        <v>739</v>
      </c>
      <c r="O83" s="266"/>
      <c r="P83" s="5"/>
    </row>
    <row r="84" spans="1:17" ht="15.6" x14ac:dyDescent="0.3">
      <c r="A84" s="262"/>
      <c r="B84" s="263" t="s">
        <v>148</v>
      </c>
      <c r="C84" s="263"/>
      <c r="D84" s="263"/>
      <c r="E84" s="263"/>
      <c r="F84" s="263"/>
      <c r="G84" s="263"/>
      <c r="H84" s="263"/>
      <c r="I84" s="263"/>
      <c r="J84" s="263"/>
      <c r="K84" s="263"/>
      <c r="L84" s="264">
        <v>-1117</v>
      </c>
      <c r="M84" s="263"/>
      <c r="N84" s="264">
        <f>-L84</f>
        <v>1117</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5197</v>
      </c>
      <c r="M87" s="263"/>
      <c r="N87" s="264">
        <f>N83+N85+N84+N86</f>
        <v>1856</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-41-1-39</f>
        <v>-81</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-219</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-7</v>
      </c>
      <c r="O95" s="266"/>
      <c r="P95" s="5"/>
      <c r="Q95" s="104"/>
    </row>
    <row r="96" spans="1:17" ht="15.6" x14ac:dyDescent="0.3">
      <c r="A96" s="274" t="s">
        <v>170</v>
      </c>
      <c r="B96" s="263" t="s">
        <v>216</v>
      </c>
      <c r="C96" s="263"/>
      <c r="D96" s="263"/>
      <c r="E96" s="263"/>
      <c r="F96" s="263"/>
      <c r="G96" s="263"/>
      <c r="H96" s="263"/>
      <c r="I96" s="263"/>
      <c r="J96" s="263"/>
      <c r="K96" s="263"/>
      <c r="L96" s="263"/>
      <c r="M96" s="263"/>
      <c r="N96" s="265">
        <v>-8</v>
      </c>
      <c r="O96" s="266"/>
      <c r="P96" s="5"/>
      <c r="Q96" s="104"/>
    </row>
    <row r="97" spans="1:16" ht="15.6" x14ac:dyDescent="0.3">
      <c r="A97" s="274">
        <v>7</v>
      </c>
      <c r="B97" s="263" t="s">
        <v>33</v>
      </c>
      <c r="C97" s="263"/>
      <c r="D97" s="263"/>
      <c r="E97" s="263"/>
      <c r="F97" s="263"/>
      <c r="G97" s="263"/>
      <c r="H97" s="263"/>
      <c r="I97" s="263"/>
      <c r="J97" s="263"/>
      <c r="K97" s="263"/>
      <c r="L97" s="263"/>
      <c r="M97" s="263"/>
      <c r="N97" s="265">
        <v>-9</v>
      </c>
      <c r="O97" s="266"/>
      <c r="P97" s="5"/>
    </row>
    <row r="98" spans="1:16" ht="15.6" x14ac:dyDescent="0.3">
      <c r="A98" s="274">
        <f t="shared" ref="A98:A104" si="0">+A97+1</f>
        <v>8</v>
      </c>
      <c r="B98" s="263" t="s">
        <v>42</v>
      </c>
      <c r="C98" s="263"/>
      <c r="D98" s="263"/>
      <c r="E98" s="263"/>
      <c r="F98" s="263"/>
      <c r="G98" s="263"/>
      <c r="H98" s="263"/>
      <c r="I98" s="263"/>
      <c r="J98" s="263"/>
      <c r="K98" s="263"/>
      <c r="L98" s="264">
        <f>-N98</f>
        <v>-5</v>
      </c>
      <c r="M98" s="263"/>
      <c r="N98" s="265">
        <v>5</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-42</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-1492</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-593</v>
      </c>
      <c r="M107" s="264"/>
      <c r="N107" s="265"/>
      <c r="O107" s="266"/>
      <c r="P107" s="5"/>
    </row>
    <row r="108" spans="1:16" ht="15.6" x14ac:dyDescent="0.3">
      <c r="A108" s="274"/>
      <c r="B108" s="263" t="s">
        <v>200</v>
      </c>
      <c r="C108" s="263"/>
      <c r="D108" s="263"/>
      <c r="E108" s="263"/>
      <c r="F108" s="263"/>
      <c r="G108" s="263"/>
      <c r="H108" s="263"/>
      <c r="I108" s="263"/>
      <c r="J108" s="263"/>
      <c r="K108" s="263"/>
      <c r="L108" s="264">
        <v>-4323</v>
      </c>
      <c r="M108" s="264"/>
      <c r="N108" s="265"/>
      <c r="O108" s="266"/>
      <c r="P108" s="5"/>
    </row>
    <row r="109" spans="1:16" ht="15.6" x14ac:dyDescent="0.3">
      <c r="A109" s="274"/>
      <c r="B109" s="263" t="s">
        <v>201</v>
      </c>
      <c r="C109" s="263"/>
      <c r="D109" s="263"/>
      <c r="E109" s="263"/>
      <c r="F109" s="263"/>
      <c r="G109" s="263"/>
      <c r="H109" s="263"/>
      <c r="I109" s="263"/>
      <c r="J109" s="263"/>
      <c r="K109" s="263"/>
      <c r="L109" s="264">
        <v>-138</v>
      </c>
      <c r="M109" s="264"/>
      <c r="N109" s="265"/>
      <c r="O109" s="266"/>
      <c r="P109" s="5"/>
    </row>
    <row r="110" spans="1:16" ht="15.6" x14ac:dyDescent="0.3">
      <c r="A110" s="274"/>
      <c r="B110" s="263" t="s">
        <v>202</v>
      </c>
      <c r="C110" s="263"/>
      <c r="D110" s="263"/>
      <c r="E110" s="263"/>
      <c r="F110" s="263"/>
      <c r="G110" s="263"/>
      <c r="H110" s="263"/>
      <c r="I110" s="263"/>
      <c r="J110" s="263"/>
      <c r="K110" s="263"/>
      <c r="L110" s="264">
        <v>-138</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-5192</v>
      </c>
      <c r="M111" s="264"/>
      <c r="N111" s="264">
        <f>SUM(N88:N109)</f>
        <v>-1856</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NOVEMBER 2010</v>
      </c>
      <c r="C115" s="243"/>
      <c r="D115" s="243"/>
      <c r="E115" s="243"/>
      <c r="F115" s="243"/>
      <c r="G115" s="243"/>
      <c r="H115" s="243"/>
      <c r="I115" s="243"/>
      <c r="J115" s="243"/>
      <c r="K115" s="243"/>
      <c r="L115" s="243"/>
      <c r="M115" s="243"/>
      <c r="N115" s="247"/>
      <c r="O115" s="245"/>
      <c r="P115" s="5"/>
    </row>
    <row r="116" spans="1:17" ht="15.6" x14ac:dyDescent="0.3">
      <c r="A116" s="371"/>
      <c r="B116" s="374"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f>L98</f>
        <v>-5</v>
      </c>
      <c r="O144" s="266"/>
      <c r="P144" s="5"/>
    </row>
    <row r="145" spans="1:256" ht="15.6" x14ac:dyDescent="0.3">
      <c r="A145" s="262"/>
      <c r="B145" s="263" t="s">
        <v>51</v>
      </c>
      <c r="C145" s="263"/>
      <c r="D145" s="263"/>
      <c r="E145" s="263"/>
      <c r="F145" s="263"/>
      <c r="G145" s="263"/>
      <c r="H145" s="263"/>
      <c r="I145" s="263"/>
      <c r="J145" s="263"/>
      <c r="K145" s="263"/>
      <c r="L145" s="263"/>
      <c r="M145" s="263"/>
      <c r="N145" s="265">
        <f>+N143+N144</f>
        <v>-5</v>
      </c>
      <c r="O145" s="266"/>
      <c r="P145" s="5"/>
    </row>
    <row r="146" spans="1:256" ht="15.6" x14ac:dyDescent="0.3">
      <c r="A146" s="262"/>
      <c r="B146" s="263" t="s">
        <v>264</v>
      </c>
      <c r="C146" s="263"/>
      <c r="D146" s="263"/>
      <c r="E146" s="263"/>
      <c r="F146" s="263"/>
      <c r="G146" s="263"/>
      <c r="H146" s="263"/>
      <c r="I146" s="263"/>
      <c r="J146" s="263"/>
      <c r="K146" s="263"/>
      <c r="L146" s="263"/>
      <c r="M146" s="263"/>
      <c r="N146" s="265">
        <f>N98</f>
        <v>5</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106131</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106131</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+'Aug 10'!N161</f>
        <v>462</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4</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458</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+'Aug 10'!L168</f>
        <v>12843</v>
      </c>
      <c r="M166" s="263"/>
      <c r="N166" s="265">
        <f>K166+L166</f>
        <v>12843</v>
      </c>
      <c r="O166" s="266"/>
      <c r="P166" s="5"/>
    </row>
    <row r="167" spans="1:256" ht="15.6" x14ac:dyDescent="0.3">
      <c r="A167" s="262"/>
      <c r="B167" s="263" t="s">
        <v>58</v>
      </c>
      <c r="C167" s="263"/>
      <c r="D167" s="263"/>
      <c r="E167" s="263"/>
      <c r="F167" s="263"/>
      <c r="G167" s="263"/>
      <c r="H167" s="263"/>
      <c r="I167" s="263"/>
      <c r="J167" s="263"/>
      <c r="K167" s="264">
        <v>0</v>
      </c>
      <c r="L167" s="264">
        <f>-L107</f>
        <v>593</v>
      </c>
      <c r="M167" s="263"/>
      <c r="N167" s="265">
        <f>K167+L167</f>
        <v>593</v>
      </c>
      <c r="O167" s="266"/>
      <c r="P167" s="5"/>
    </row>
    <row r="168" spans="1:256" ht="15.6" x14ac:dyDescent="0.3">
      <c r="A168" s="262"/>
      <c r="B168" s="263" t="s">
        <v>59</v>
      </c>
      <c r="C168" s="263"/>
      <c r="D168" s="263"/>
      <c r="E168" s="263"/>
      <c r="F168" s="263"/>
      <c r="G168" s="263"/>
      <c r="H168" s="263"/>
      <c r="I168" s="263"/>
      <c r="J168" s="263"/>
      <c r="K168" s="265">
        <f>K166+K167</f>
        <v>0</v>
      </c>
      <c r="L168" s="265">
        <f>L167+L166</f>
        <v>13436</v>
      </c>
      <c r="M168" s="263"/>
      <c r="N168" s="265">
        <f>K168+L168</f>
        <v>13436</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8.0958904109589049</v>
      </c>
      <c r="O173" s="266" t="s">
        <v>115</v>
      </c>
      <c r="P173" s="5"/>
    </row>
    <row r="174" spans="1:256" ht="15.6" x14ac:dyDescent="0.3">
      <c r="A174" s="262"/>
      <c r="B174" s="263" t="s">
        <v>63</v>
      </c>
      <c r="C174" s="263"/>
      <c r="D174" s="263"/>
      <c r="E174" s="263"/>
      <c r="F174" s="263"/>
      <c r="G174" s="263"/>
      <c r="H174" s="263"/>
      <c r="I174" s="263"/>
      <c r="J174" s="263"/>
      <c r="K174" s="263"/>
      <c r="L174" s="263"/>
      <c r="M174" s="263"/>
      <c r="N174" s="315">
        <v>1.78</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222</v>
      </c>
      <c r="O175" s="266" t="s">
        <v>115</v>
      </c>
      <c r="P175" s="5"/>
    </row>
    <row r="176" spans="1:256" ht="15.6" x14ac:dyDescent="0.3">
      <c r="A176" s="262"/>
      <c r="B176" s="263" t="s">
        <v>65</v>
      </c>
      <c r="C176" s="263"/>
      <c r="D176" s="263"/>
      <c r="E176" s="263"/>
      <c r="F176" s="263"/>
      <c r="G176" s="263"/>
      <c r="H176" s="263"/>
      <c r="I176" s="263"/>
      <c r="J176" s="263"/>
      <c r="K176" s="263"/>
      <c r="L176" s="263"/>
      <c r="M176" s="263"/>
      <c r="N176" s="315">
        <v>36.159999999999997</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193.375</v>
      </c>
      <c r="O177" s="266" t="s">
        <v>115</v>
      </c>
      <c r="P177" s="5"/>
    </row>
    <row r="178" spans="1:16" ht="15.6" x14ac:dyDescent="0.3">
      <c r="A178" s="262"/>
      <c r="B178" s="263" t="s">
        <v>167</v>
      </c>
      <c r="C178" s="263"/>
      <c r="D178" s="263"/>
      <c r="E178" s="263"/>
      <c r="F178" s="263"/>
      <c r="G178" s="263"/>
      <c r="H178" s="263"/>
      <c r="I178" s="263"/>
      <c r="J178" s="263"/>
      <c r="K178" s="263"/>
      <c r="L178" s="263"/>
      <c r="M178" s="263"/>
      <c r="N178" s="315">
        <v>34.22</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NOVEMBER 2010</v>
      </c>
      <c r="C182" s="250"/>
      <c r="D182" s="250"/>
      <c r="E182" s="250"/>
      <c r="F182" s="250"/>
      <c r="G182" s="250"/>
      <c r="H182" s="250"/>
      <c r="I182" s="250"/>
      <c r="J182" s="250"/>
      <c r="K182" s="250"/>
      <c r="L182" s="250"/>
      <c r="M182" s="250"/>
      <c r="N182" s="250"/>
      <c r="O182" s="251"/>
      <c r="P182" s="5"/>
    </row>
    <row r="183" spans="1:16" ht="15.6" x14ac:dyDescent="0.3">
      <c r="A183" s="371"/>
      <c r="B183" s="374" t="s">
        <v>66</v>
      </c>
      <c r="C183" s="375"/>
      <c r="D183" s="376"/>
      <c r="E183" s="376"/>
      <c r="F183" s="376"/>
      <c r="G183" s="376"/>
      <c r="H183" s="376"/>
      <c r="I183" s="376"/>
      <c r="J183" s="376"/>
      <c r="K183" s="376"/>
      <c r="L183" s="376">
        <v>40512</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5.357E-2</v>
      </c>
      <c r="M188" s="263"/>
      <c r="N188" s="263"/>
      <c r="O188" s="266"/>
      <c r="P188" s="5"/>
    </row>
    <row r="189" spans="1:16" ht="15.6" x14ac:dyDescent="0.3">
      <c r="A189" s="321"/>
      <c r="B189" s="263" t="s">
        <v>212</v>
      </c>
      <c r="C189" s="322"/>
      <c r="D189" s="303"/>
      <c r="E189" s="303"/>
      <c r="F189" s="303"/>
      <c r="G189" s="303"/>
      <c r="H189" s="303"/>
      <c r="I189" s="303"/>
      <c r="J189" s="303"/>
      <c r="K189" s="303"/>
      <c r="L189" s="297">
        <f>N34</f>
        <v>8.5128988197992021E-3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4.5057101180200801E-2</v>
      </c>
      <c r="M190" s="263"/>
      <c r="N190" s="263"/>
      <c r="O190" s="266"/>
      <c r="P190" s="5"/>
    </row>
    <row r="191" spans="1:16" ht="15.6" x14ac:dyDescent="0.3">
      <c r="A191" s="321"/>
      <c r="B191" s="263" t="s">
        <v>203</v>
      </c>
      <c r="C191" s="322"/>
      <c r="D191" s="303"/>
      <c r="E191" s="303"/>
      <c r="F191" s="303"/>
      <c r="G191" s="303"/>
      <c r="H191" s="303"/>
      <c r="I191" s="303"/>
      <c r="J191" s="303"/>
      <c r="K191" s="303"/>
      <c r="L191" s="297">
        <f>+N87/F59</f>
        <v>1.6691848334412548E-2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6.03</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5.6976429151991331E-2</v>
      </c>
      <c r="M197" s="263"/>
      <c r="N197" s="263"/>
      <c r="O197" s="266"/>
      <c r="P197" s="5"/>
    </row>
    <row r="198" spans="1:16" ht="15.6" x14ac:dyDescent="0.3">
      <c r="A198" s="321"/>
      <c r="B198" s="263" t="s">
        <v>74</v>
      </c>
      <c r="C198" s="322"/>
      <c r="D198" s="303"/>
      <c r="E198" s="303"/>
      <c r="F198" s="303"/>
      <c r="G198" s="303"/>
      <c r="H198" s="303"/>
      <c r="I198" s="303"/>
      <c r="J198" s="303"/>
      <c r="K198" s="303"/>
      <c r="L198" s="297">
        <v>0.27239999999999998</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67" t="s">
        <v>75</v>
      </c>
      <c r="C200" s="369"/>
      <c r="D200" s="369"/>
      <c r="E200" s="369"/>
      <c r="F200" s="369"/>
      <c r="G200" s="369"/>
      <c r="H200" s="369"/>
      <c r="I200" s="369"/>
      <c r="J200" s="369"/>
      <c r="K200" s="369" t="s">
        <v>99</v>
      </c>
      <c r="L200" s="378" t="s">
        <v>106</v>
      </c>
      <c r="M200" s="361"/>
      <c r="N200" s="361"/>
      <c r="O200" s="361"/>
      <c r="P200" s="5"/>
    </row>
    <row r="201" spans="1:16" ht="15.6" x14ac:dyDescent="0.3">
      <c r="A201" s="330"/>
      <c r="B201" s="263" t="s">
        <v>76</v>
      </c>
      <c r="C201" s="264"/>
      <c r="D201" s="276"/>
      <c r="E201" s="276"/>
      <c r="F201" s="276"/>
      <c r="G201" s="276"/>
      <c r="H201" s="276"/>
      <c r="I201" s="276"/>
      <c r="J201" s="276"/>
      <c r="K201" s="276">
        <v>13</v>
      </c>
      <c r="L201" s="331">
        <v>660</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3</v>
      </c>
      <c r="L203" s="331">
        <f>+L286</f>
        <v>69</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72" t="s">
        <v>81</v>
      </c>
      <c r="C207" s="272"/>
      <c r="D207" s="272"/>
      <c r="E207" s="272"/>
      <c r="F207" s="272"/>
      <c r="G207" s="272"/>
      <c r="H207" s="272"/>
      <c r="I207" s="272"/>
      <c r="J207" s="272"/>
      <c r="K207" s="343"/>
      <c r="L207" s="344">
        <f>N144</f>
        <v>-5</v>
      </c>
      <c r="M207" s="291"/>
      <c r="N207" s="337"/>
      <c r="O207" s="342"/>
      <c r="P207" s="5"/>
    </row>
    <row r="208" spans="1:16" ht="15.6" x14ac:dyDescent="0.3">
      <c r="A208" s="330"/>
      <c r="B208" s="272" t="s">
        <v>82</v>
      </c>
      <c r="C208" s="345"/>
      <c r="D208" s="272"/>
      <c r="E208" s="272"/>
      <c r="F208" s="272"/>
      <c r="G208" s="272"/>
      <c r="H208" s="272"/>
      <c r="I208" s="272"/>
      <c r="J208" s="272"/>
      <c r="K208" s="343"/>
      <c r="L208" s="344">
        <f>'Aug 10'!L208+L207</f>
        <v>37</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2</v>
      </c>
      <c r="L210" s="331">
        <v>100</v>
      </c>
      <c r="M210" s="291"/>
      <c r="N210" s="337"/>
      <c r="O210" s="342"/>
      <c r="P210" s="5"/>
    </row>
    <row r="211" spans="1:17" ht="15.6" x14ac:dyDescent="0.3">
      <c r="A211" s="347"/>
      <c r="B211" s="263" t="s">
        <v>83</v>
      </c>
      <c r="C211" s="300"/>
      <c r="D211" s="263"/>
      <c r="E211" s="263"/>
      <c r="F211" s="263"/>
      <c r="G211" s="263"/>
      <c r="H211" s="263"/>
      <c r="I211" s="263"/>
      <c r="J211" s="263"/>
      <c r="K211" s="263"/>
      <c r="L211" s="339">
        <v>12.93</v>
      </c>
      <c r="M211" s="291"/>
      <c r="N211" s="337"/>
      <c r="O211" s="342"/>
      <c r="P211" s="5"/>
    </row>
    <row r="212" spans="1:17" ht="15.6" x14ac:dyDescent="0.3">
      <c r="A212" s="347"/>
      <c r="B212" s="263" t="s">
        <v>84</v>
      </c>
      <c r="C212" s="300"/>
      <c r="D212" s="263"/>
      <c r="E212" s="263"/>
      <c r="F212" s="263"/>
      <c r="G212" s="263"/>
      <c r="H212" s="263"/>
      <c r="I212" s="263"/>
      <c r="J212" s="263"/>
      <c r="K212" s="263"/>
      <c r="L212" s="339">
        <v>7.43</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67" t="s">
        <v>258</v>
      </c>
      <c r="C220" s="369"/>
      <c r="D220" s="369"/>
      <c r="E220" s="369"/>
      <c r="F220" s="369"/>
      <c r="G220" s="369"/>
      <c r="H220" s="369"/>
      <c r="I220" s="369"/>
      <c r="J220" s="382" t="s">
        <v>99</v>
      </c>
      <c r="K220" s="369" t="s">
        <v>100</v>
      </c>
      <c r="L220" s="378" t="s">
        <v>108</v>
      </c>
      <c r="M220" s="369" t="s">
        <v>100</v>
      </c>
      <c r="N220" s="361"/>
      <c r="O220" s="367"/>
      <c r="P220" s="5"/>
    </row>
    <row r="221" spans="1:17" ht="15.6" x14ac:dyDescent="0.3">
      <c r="A221" s="262"/>
      <c r="B221" s="264" t="s">
        <v>85</v>
      </c>
      <c r="C221" s="354"/>
      <c r="D221" s="354"/>
      <c r="E221" s="354"/>
      <c r="F221" s="354"/>
      <c r="G221" s="354"/>
      <c r="H221" s="354"/>
      <c r="I221" s="354"/>
      <c r="J221" s="264">
        <f t="shared" ref="J221:J233" si="1">+J238+J255+J272</f>
        <v>2470</v>
      </c>
      <c r="K221" s="355">
        <f t="shared" ref="K221:K233" si="2">J221/$J$235</f>
        <v>0.94095238095238098</v>
      </c>
      <c r="L221" s="265">
        <f t="shared" ref="L221:L233" si="3">+L238+L255+L272</f>
        <v>96701</v>
      </c>
      <c r="M221" s="355">
        <f t="shared" ref="M221:M233" si="4">L221/$L$235</f>
        <v>0.911147544072891</v>
      </c>
      <c r="N221" s="332"/>
      <c r="O221" s="356"/>
      <c r="P221" s="5"/>
    </row>
    <row r="222" spans="1:17" ht="15.6" x14ac:dyDescent="0.3">
      <c r="A222" s="262"/>
      <c r="B222" s="264" t="s">
        <v>86</v>
      </c>
      <c r="C222" s="354"/>
      <c r="D222" s="354"/>
      <c r="E222" s="354"/>
      <c r="F222" s="354"/>
      <c r="G222" s="354"/>
      <c r="H222" s="354"/>
      <c r="I222" s="354"/>
      <c r="J222" s="264">
        <f t="shared" si="1"/>
        <v>55</v>
      </c>
      <c r="K222" s="355">
        <f t="shared" si="2"/>
        <v>2.0952380952380951E-2</v>
      </c>
      <c r="L222" s="265">
        <f t="shared" si="3"/>
        <v>2847</v>
      </c>
      <c r="M222" s="355">
        <f t="shared" si="4"/>
        <v>2.6825338496763433E-2</v>
      </c>
      <c r="N222" s="332"/>
      <c r="O222" s="356"/>
      <c r="P222" s="5"/>
      <c r="Q222" s="104"/>
    </row>
    <row r="223" spans="1:17" ht="15.6" x14ac:dyDescent="0.3">
      <c r="A223" s="262"/>
      <c r="B223" s="264" t="s">
        <v>87</v>
      </c>
      <c r="C223" s="354"/>
      <c r="D223" s="354"/>
      <c r="E223" s="354"/>
      <c r="F223" s="354"/>
      <c r="G223" s="354"/>
      <c r="H223" s="354"/>
      <c r="I223" s="354"/>
      <c r="J223" s="264">
        <f t="shared" si="1"/>
        <v>23</v>
      </c>
      <c r="K223" s="355">
        <f t="shared" si="2"/>
        <v>8.7619047619047624E-3</v>
      </c>
      <c r="L223" s="265">
        <f t="shared" si="3"/>
        <v>907</v>
      </c>
      <c r="M223" s="355">
        <f t="shared" si="4"/>
        <v>8.5460421554493966E-3</v>
      </c>
      <c r="N223" s="332"/>
      <c r="O223" s="356"/>
      <c r="P223" s="5"/>
    </row>
    <row r="224" spans="1:17" ht="15.6" x14ac:dyDescent="0.3">
      <c r="A224" s="262"/>
      <c r="B224" s="264" t="s">
        <v>145</v>
      </c>
      <c r="C224" s="354"/>
      <c r="D224" s="354"/>
      <c r="E224" s="354"/>
      <c r="F224" s="354"/>
      <c r="G224" s="354"/>
      <c r="H224" s="354"/>
      <c r="I224" s="354"/>
      <c r="J224" s="264">
        <f t="shared" si="1"/>
        <v>15</v>
      </c>
      <c r="K224" s="355">
        <f t="shared" si="2"/>
        <v>5.7142857142857143E-3</v>
      </c>
      <c r="L224" s="265">
        <f t="shared" si="3"/>
        <v>1281</v>
      </c>
      <c r="M224" s="355">
        <f t="shared" si="4"/>
        <v>1.2069988975888289E-2</v>
      </c>
      <c r="N224" s="332"/>
      <c r="O224" s="356"/>
      <c r="P224" s="5"/>
      <c r="Q224" s="104"/>
    </row>
    <row r="225" spans="1:17" ht="15.6" x14ac:dyDescent="0.3">
      <c r="A225" s="262"/>
      <c r="B225" s="264" t="s">
        <v>146</v>
      </c>
      <c r="C225" s="354"/>
      <c r="D225" s="354"/>
      <c r="E225" s="354"/>
      <c r="F225" s="354"/>
      <c r="G225" s="354"/>
      <c r="H225" s="354"/>
      <c r="I225" s="354"/>
      <c r="J225" s="264">
        <f t="shared" si="1"/>
        <v>13</v>
      </c>
      <c r="K225" s="355">
        <f t="shared" si="2"/>
        <v>4.952380952380952E-3</v>
      </c>
      <c r="L225" s="265">
        <f t="shared" si="3"/>
        <v>769</v>
      </c>
      <c r="M225" s="355">
        <f t="shared" si="4"/>
        <v>7.2457623126136565E-3</v>
      </c>
      <c r="N225" s="332"/>
      <c r="O225" s="356"/>
      <c r="P225" s="5"/>
    </row>
    <row r="226" spans="1:17" ht="15.6" x14ac:dyDescent="0.3">
      <c r="A226" s="262"/>
      <c r="B226" s="264" t="s">
        <v>147</v>
      </c>
      <c r="C226" s="354"/>
      <c r="D226" s="354"/>
      <c r="E226" s="354"/>
      <c r="F226" s="354"/>
      <c r="G226" s="354"/>
      <c r="H226" s="354"/>
      <c r="I226" s="354"/>
      <c r="J226" s="264">
        <f t="shared" si="1"/>
        <v>7</v>
      </c>
      <c r="K226" s="355">
        <f t="shared" si="2"/>
        <v>2.6666666666666666E-3</v>
      </c>
      <c r="L226" s="265">
        <f t="shared" si="3"/>
        <v>326</v>
      </c>
      <c r="M226" s="355">
        <f t="shared" si="4"/>
        <v>3.0716755707568947E-3</v>
      </c>
      <c r="N226" s="332"/>
      <c r="O226" s="356"/>
      <c r="P226" s="5"/>
      <c r="Q226" s="104"/>
    </row>
    <row r="227" spans="1:17" ht="15.6" x14ac:dyDescent="0.3">
      <c r="A227" s="262"/>
      <c r="B227" s="264" t="s">
        <v>227</v>
      </c>
      <c r="C227" s="354"/>
      <c r="D227" s="354"/>
      <c r="E227" s="354"/>
      <c r="F227" s="354"/>
      <c r="G227" s="354"/>
      <c r="H227" s="354"/>
      <c r="I227" s="354"/>
      <c r="J227" s="264">
        <f t="shared" si="1"/>
        <v>19</v>
      </c>
      <c r="K227" s="355">
        <f t="shared" si="2"/>
        <v>7.2380952380952379E-3</v>
      </c>
      <c r="L227" s="265">
        <f t="shared" si="3"/>
        <v>1063</v>
      </c>
      <c r="M227" s="355">
        <f t="shared" si="4"/>
        <v>1.0015923716915887E-2</v>
      </c>
      <c r="N227" s="332"/>
      <c r="O227" s="356"/>
      <c r="P227" s="5"/>
    </row>
    <row r="228" spans="1:17" ht="15.6" x14ac:dyDescent="0.3">
      <c r="A228" s="262"/>
      <c r="B228" s="264" t="s">
        <v>228</v>
      </c>
      <c r="C228" s="354"/>
      <c r="D228" s="354"/>
      <c r="E228" s="354"/>
      <c r="F228" s="354"/>
      <c r="G228" s="354"/>
      <c r="H228" s="354"/>
      <c r="I228" s="354"/>
      <c r="J228" s="264">
        <f t="shared" si="1"/>
        <v>7</v>
      </c>
      <c r="K228" s="355">
        <f t="shared" si="2"/>
        <v>2.6666666666666666E-3</v>
      </c>
      <c r="L228" s="265">
        <f t="shared" si="3"/>
        <v>337</v>
      </c>
      <c r="M228" s="355">
        <f t="shared" si="4"/>
        <v>3.1753210654756857E-3</v>
      </c>
      <c r="N228" s="332"/>
      <c r="O228" s="356"/>
      <c r="P228" s="5"/>
      <c r="Q228" s="104"/>
    </row>
    <row r="229" spans="1:17" ht="15.6" x14ac:dyDescent="0.3">
      <c r="A229" s="262"/>
      <c r="B229" s="264" t="s">
        <v>229</v>
      </c>
      <c r="C229" s="354"/>
      <c r="D229" s="354"/>
      <c r="E229" s="354"/>
      <c r="F229" s="354"/>
      <c r="G229" s="354"/>
      <c r="H229" s="354"/>
      <c r="I229" s="354"/>
      <c r="J229" s="264">
        <f t="shared" si="1"/>
        <v>6</v>
      </c>
      <c r="K229" s="355">
        <f t="shared" si="2"/>
        <v>2.2857142857142859E-3</v>
      </c>
      <c r="L229" s="265">
        <f t="shared" si="3"/>
        <v>409</v>
      </c>
      <c r="M229" s="355">
        <f t="shared" si="4"/>
        <v>3.8537279399986808E-3</v>
      </c>
      <c r="N229" s="332"/>
      <c r="O229" s="356"/>
      <c r="P229" s="5"/>
      <c r="Q229" s="104"/>
    </row>
    <row r="230" spans="1:17" ht="15.6" x14ac:dyDescent="0.3">
      <c r="A230" s="262"/>
      <c r="B230" s="264" t="s">
        <v>230</v>
      </c>
      <c r="C230" s="354"/>
      <c r="D230" s="354"/>
      <c r="E230" s="354"/>
      <c r="F230" s="354"/>
      <c r="G230" s="354"/>
      <c r="H230" s="354"/>
      <c r="I230" s="354"/>
      <c r="J230" s="264">
        <f t="shared" si="1"/>
        <v>3</v>
      </c>
      <c r="K230" s="355">
        <f t="shared" si="2"/>
        <v>1.1428571428571429E-3</v>
      </c>
      <c r="L230" s="265">
        <f t="shared" si="3"/>
        <v>69</v>
      </c>
      <c r="M230" s="355">
        <f t="shared" si="4"/>
        <v>6.5013992141787038E-4</v>
      </c>
      <c r="N230" s="332"/>
      <c r="O230" s="356"/>
      <c r="P230" s="5"/>
      <c r="Q230" s="104"/>
    </row>
    <row r="231" spans="1:17" ht="15.6" x14ac:dyDescent="0.3">
      <c r="A231" s="262"/>
      <c r="B231" s="264" t="s">
        <v>231</v>
      </c>
      <c r="C231" s="354"/>
      <c r="D231" s="354"/>
      <c r="E231" s="354"/>
      <c r="F231" s="354"/>
      <c r="G231" s="354"/>
      <c r="H231" s="354"/>
      <c r="I231" s="354"/>
      <c r="J231" s="264">
        <f t="shared" si="1"/>
        <v>2</v>
      </c>
      <c r="K231" s="355">
        <f t="shared" si="2"/>
        <v>7.6190476190476193E-4</v>
      </c>
      <c r="L231" s="265">
        <f t="shared" si="3"/>
        <v>1085</v>
      </c>
      <c r="M231" s="355">
        <f t="shared" si="4"/>
        <v>1.0223214706353468E-2</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3.8095238095238096E-4</v>
      </c>
      <c r="L232" s="265">
        <f t="shared" si="3"/>
        <v>87</v>
      </c>
      <c r="M232" s="355">
        <f t="shared" si="4"/>
        <v>8.1974164004861916E-4</v>
      </c>
      <c r="N232" s="332"/>
      <c r="O232" s="356"/>
      <c r="P232" s="5"/>
      <c r="Q232" s="104"/>
    </row>
    <row r="233" spans="1:17" ht="15.6" x14ac:dyDescent="0.3">
      <c r="A233" s="262"/>
      <c r="B233" s="264" t="s">
        <v>233</v>
      </c>
      <c r="C233" s="354"/>
      <c r="D233" s="354"/>
      <c r="E233" s="354"/>
      <c r="F233" s="354"/>
      <c r="G233" s="354"/>
      <c r="H233" s="354"/>
      <c r="I233" s="354"/>
      <c r="J233" s="264">
        <f t="shared" si="1"/>
        <v>4</v>
      </c>
      <c r="K233" s="355">
        <f t="shared" si="2"/>
        <v>1.5238095238095239E-3</v>
      </c>
      <c r="L233" s="265">
        <f t="shared" si="3"/>
        <v>250</v>
      </c>
      <c r="M233" s="355">
        <f t="shared" si="4"/>
        <v>2.3555794254270664E-3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2625</v>
      </c>
      <c r="K235" s="355">
        <f>SUM(K221:K234)</f>
        <v>1</v>
      </c>
      <c r="L235" s="265">
        <f>SUM(L221:L234)</f>
        <v>106131</v>
      </c>
      <c r="M235" s="355">
        <f>SUM(M221:M234)</f>
        <v>0.99999999999999989</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67" t="s">
        <v>149</v>
      </c>
      <c r="C237" s="369"/>
      <c r="D237" s="369"/>
      <c r="E237" s="369"/>
      <c r="F237" s="369"/>
      <c r="G237" s="369"/>
      <c r="H237" s="369"/>
      <c r="I237" s="369"/>
      <c r="J237" s="382" t="s">
        <v>99</v>
      </c>
      <c r="K237" s="369" t="s">
        <v>100</v>
      </c>
      <c r="L237" s="378" t="s">
        <v>108</v>
      </c>
      <c r="M237" s="369" t="s">
        <v>100</v>
      </c>
      <c r="N237" s="361"/>
      <c r="O237" s="367"/>
      <c r="P237" s="5"/>
    </row>
    <row r="238" spans="1:17" ht="15.6" x14ac:dyDescent="0.3">
      <c r="A238" s="262"/>
      <c r="B238" s="264" t="s">
        <v>85</v>
      </c>
      <c r="C238" s="354"/>
      <c r="D238" s="354"/>
      <c r="E238" s="354"/>
      <c r="F238" s="354"/>
      <c r="G238" s="354"/>
      <c r="H238" s="354"/>
      <c r="I238" s="354"/>
      <c r="J238" s="264">
        <v>2470</v>
      </c>
      <c r="K238" s="355">
        <f t="shared" ref="K238:K250" si="5">J238/$J$252</f>
        <v>0.94202898550724634</v>
      </c>
      <c r="L238" s="265">
        <v>96701</v>
      </c>
      <c r="M238" s="355">
        <f t="shared" ref="M238:M250" si="6">L238/$L$252</f>
        <v>0.91174030284173413</v>
      </c>
      <c r="N238" s="332"/>
      <c r="O238" s="356"/>
      <c r="P238" s="5"/>
    </row>
    <row r="239" spans="1:17" ht="15.6" x14ac:dyDescent="0.3">
      <c r="A239" s="262"/>
      <c r="B239" s="264" t="s">
        <v>86</v>
      </c>
      <c r="C239" s="354"/>
      <c r="D239" s="354"/>
      <c r="E239" s="354"/>
      <c r="F239" s="354"/>
      <c r="G239" s="354"/>
      <c r="H239" s="354"/>
      <c r="I239" s="354"/>
      <c r="J239" s="264">
        <v>55</v>
      </c>
      <c r="K239" s="355">
        <f t="shared" si="5"/>
        <v>2.0976353928299007E-2</v>
      </c>
      <c r="L239" s="265">
        <v>2847</v>
      </c>
      <c r="M239" s="355">
        <f t="shared" si="6"/>
        <v>2.6842790066187703E-2</v>
      </c>
      <c r="N239" s="332"/>
      <c r="O239" s="356"/>
      <c r="P239" s="5"/>
      <c r="Q239" s="104"/>
    </row>
    <row r="240" spans="1:17" ht="15.6" x14ac:dyDescent="0.3">
      <c r="A240" s="262"/>
      <c r="B240" s="264" t="s">
        <v>87</v>
      </c>
      <c r="C240" s="354"/>
      <c r="D240" s="354"/>
      <c r="E240" s="354"/>
      <c r="F240" s="354"/>
      <c r="G240" s="354"/>
      <c r="H240" s="354"/>
      <c r="I240" s="354"/>
      <c r="J240" s="264">
        <v>23</v>
      </c>
      <c r="K240" s="355">
        <f t="shared" si="5"/>
        <v>8.771929824561403E-3</v>
      </c>
      <c r="L240" s="265">
        <v>907</v>
      </c>
      <c r="M240" s="355">
        <f t="shared" si="6"/>
        <v>8.5516018932322597E-3</v>
      </c>
      <c r="N240" s="332"/>
      <c r="O240" s="356"/>
      <c r="P240" s="5"/>
    </row>
    <row r="241" spans="1:17" ht="15.6" x14ac:dyDescent="0.3">
      <c r="A241" s="262"/>
      <c r="B241" s="264" t="s">
        <v>145</v>
      </c>
      <c r="C241" s="354"/>
      <c r="D241" s="354"/>
      <c r="E241" s="354"/>
      <c r="F241" s="354"/>
      <c r="G241" s="354"/>
      <c r="H241" s="354"/>
      <c r="I241" s="354"/>
      <c r="J241" s="264">
        <v>15</v>
      </c>
      <c r="K241" s="355">
        <f t="shared" si="5"/>
        <v>5.7208237986270021E-3</v>
      </c>
      <c r="L241" s="265">
        <v>1281</v>
      </c>
      <c r="M241" s="355">
        <f t="shared" si="6"/>
        <v>1.2077841262657691E-2</v>
      </c>
      <c r="N241" s="332"/>
      <c r="O241" s="356"/>
      <c r="P241" s="5"/>
      <c r="Q241" s="104"/>
    </row>
    <row r="242" spans="1:17" ht="15.6" x14ac:dyDescent="0.3">
      <c r="A242" s="262"/>
      <c r="B242" s="264" t="s">
        <v>146</v>
      </c>
      <c r="C242" s="354"/>
      <c r="D242" s="354"/>
      <c r="E242" s="354"/>
      <c r="F242" s="354"/>
      <c r="G242" s="354"/>
      <c r="H242" s="354"/>
      <c r="I242" s="354"/>
      <c r="J242" s="264">
        <v>13</v>
      </c>
      <c r="K242" s="355">
        <f t="shared" si="5"/>
        <v>4.9580472921434016E-3</v>
      </c>
      <c r="L242" s="265">
        <v>769</v>
      </c>
      <c r="M242" s="355">
        <f t="shared" si="6"/>
        <v>7.2504761365993478E-3</v>
      </c>
      <c r="N242" s="332"/>
      <c r="O242" s="356"/>
      <c r="P242" s="5"/>
    </row>
    <row r="243" spans="1:17" ht="15.6" x14ac:dyDescent="0.3">
      <c r="A243" s="262"/>
      <c r="B243" s="264" t="s">
        <v>147</v>
      </c>
      <c r="C243" s="354"/>
      <c r="D243" s="354"/>
      <c r="E243" s="354"/>
      <c r="F243" s="354"/>
      <c r="G243" s="354"/>
      <c r="H243" s="354"/>
      <c r="I243" s="354"/>
      <c r="J243" s="264">
        <v>7</v>
      </c>
      <c r="K243" s="355">
        <f t="shared" si="5"/>
        <v>2.6697177726926011E-3</v>
      </c>
      <c r="L243" s="265">
        <v>326</v>
      </c>
      <c r="M243" s="355">
        <f t="shared" si="6"/>
        <v>3.0736738888574606E-3</v>
      </c>
      <c r="N243" s="332"/>
      <c r="O243" s="356"/>
      <c r="P243" s="5"/>
      <c r="Q243" s="104"/>
    </row>
    <row r="244" spans="1:17" ht="15.6" x14ac:dyDescent="0.3">
      <c r="A244" s="262"/>
      <c r="B244" s="264" t="s">
        <v>227</v>
      </c>
      <c r="C244" s="354"/>
      <c r="D244" s="354"/>
      <c r="E244" s="354"/>
      <c r="F244" s="354"/>
      <c r="G244" s="354"/>
      <c r="H244" s="354"/>
      <c r="I244" s="354"/>
      <c r="J244" s="264">
        <v>19</v>
      </c>
      <c r="K244" s="355">
        <f t="shared" si="5"/>
        <v>7.246376811594203E-3</v>
      </c>
      <c r="L244" s="265">
        <v>1063</v>
      </c>
      <c r="M244" s="355">
        <f t="shared" si="6"/>
        <v>1.0022439705078162E-2</v>
      </c>
      <c r="N244" s="332"/>
      <c r="O244" s="356"/>
      <c r="P244" s="5"/>
    </row>
    <row r="245" spans="1:17" ht="15.6" x14ac:dyDescent="0.3">
      <c r="A245" s="262"/>
      <c r="B245" s="264" t="s">
        <v>228</v>
      </c>
      <c r="C245" s="354"/>
      <c r="D245" s="354"/>
      <c r="E245" s="354"/>
      <c r="F245" s="354"/>
      <c r="G245" s="354"/>
      <c r="H245" s="354"/>
      <c r="I245" s="354"/>
      <c r="J245" s="264">
        <v>7</v>
      </c>
      <c r="K245" s="355">
        <f t="shared" si="5"/>
        <v>2.6697177726926011E-3</v>
      </c>
      <c r="L245" s="265">
        <v>337</v>
      </c>
      <c r="M245" s="355">
        <f t="shared" si="6"/>
        <v>3.1773868114876205E-3</v>
      </c>
      <c r="N245" s="332"/>
      <c r="O245" s="356"/>
      <c r="P245" s="5"/>
      <c r="Q245" s="104"/>
    </row>
    <row r="246" spans="1:17" ht="15.6" x14ac:dyDescent="0.3">
      <c r="A246" s="262"/>
      <c r="B246" s="264" t="s">
        <v>229</v>
      </c>
      <c r="C246" s="354"/>
      <c r="D246" s="354"/>
      <c r="E246" s="354"/>
      <c r="F246" s="354"/>
      <c r="G246" s="354"/>
      <c r="H246" s="354"/>
      <c r="I246" s="354"/>
      <c r="J246" s="264">
        <v>6</v>
      </c>
      <c r="K246" s="355">
        <f t="shared" si="5"/>
        <v>2.2883295194508009E-3</v>
      </c>
      <c r="L246" s="265">
        <v>409</v>
      </c>
      <c r="M246" s="355">
        <f t="shared" si="6"/>
        <v>3.856235032339575E-3</v>
      </c>
      <c r="N246" s="332"/>
      <c r="O246" s="356"/>
      <c r="P246" s="5"/>
      <c r="Q246" s="104"/>
    </row>
    <row r="247" spans="1:17" ht="15.6" x14ac:dyDescent="0.3">
      <c r="A247" s="262"/>
      <c r="B247" s="264" t="s">
        <v>230</v>
      </c>
      <c r="C247" s="354"/>
      <c r="D247" s="354"/>
      <c r="E247" s="354"/>
      <c r="F247" s="354"/>
      <c r="G247" s="354"/>
      <c r="H247" s="354"/>
      <c r="I247" s="354"/>
      <c r="J247" s="264">
        <v>0</v>
      </c>
      <c r="K247" s="355">
        <f t="shared" si="5"/>
        <v>0</v>
      </c>
      <c r="L247" s="265">
        <v>0</v>
      </c>
      <c r="M247" s="355">
        <f t="shared" si="6"/>
        <v>0</v>
      </c>
      <c r="N247" s="332"/>
      <c r="O247" s="356"/>
      <c r="P247" s="5"/>
      <c r="Q247" s="104"/>
    </row>
    <row r="248" spans="1:17" ht="15.6" x14ac:dyDescent="0.3">
      <c r="A248" s="262"/>
      <c r="B248" s="264" t="s">
        <v>231</v>
      </c>
      <c r="C248" s="354"/>
      <c r="D248" s="354"/>
      <c r="E248" s="354"/>
      <c r="F248" s="354"/>
      <c r="G248" s="354"/>
      <c r="H248" s="354"/>
      <c r="I248" s="354"/>
      <c r="J248" s="264">
        <v>2</v>
      </c>
      <c r="K248" s="355">
        <f t="shared" si="5"/>
        <v>7.6277650648360034E-4</v>
      </c>
      <c r="L248" s="265">
        <v>1085</v>
      </c>
      <c r="M248" s="355">
        <f t="shared" si="6"/>
        <v>1.0229865550338481E-2</v>
      </c>
      <c r="N248" s="332"/>
      <c r="O248" s="356"/>
      <c r="P248" s="5"/>
      <c r="Q248" s="104"/>
    </row>
    <row r="249" spans="1:17" ht="15.6" x14ac:dyDescent="0.3">
      <c r="A249" s="262"/>
      <c r="B249" s="264" t="s">
        <v>232</v>
      </c>
      <c r="C249" s="354"/>
      <c r="D249" s="354"/>
      <c r="E249" s="354"/>
      <c r="F249" s="354"/>
      <c r="G249" s="354"/>
      <c r="H249" s="354"/>
      <c r="I249" s="354"/>
      <c r="J249" s="264">
        <v>1</v>
      </c>
      <c r="K249" s="355">
        <f t="shared" si="5"/>
        <v>3.8138825324180017E-4</v>
      </c>
      <c r="L249" s="265">
        <v>87</v>
      </c>
      <c r="M249" s="355">
        <f t="shared" si="6"/>
        <v>8.20274933529445E-4</v>
      </c>
      <c r="N249" s="332"/>
      <c r="O249" s="356"/>
      <c r="P249" s="5"/>
      <c r="Q249" s="104"/>
    </row>
    <row r="250" spans="1:17" ht="15.6" x14ac:dyDescent="0.3">
      <c r="A250" s="262"/>
      <c r="B250" s="264" t="s">
        <v>233</v>
      </c>
      <c r="C250" s="354"/>
      <c r="D250" s="354"/>
      <c r="E250" s="354"/>
      <c r="F250" s="354"/>
      <c r="G250" s="354"/>
      <c r="H250" s="354"/>
      <c r="I250" s="354"/>
      <c r="J250" s="264">
        <v>4</v>
      </c>
      <c r="K250" s="355">
        <f t="shared" si="5"/>
        <v>1.5255530129672007E-3</v>
      </c>
      <c r="L250" s="265">
        <v>250</v>
      </c>
      <c r="M250" s="355">
        <f t="shared" si="6"/>
        <v>2.3571118779581756E-3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2622</v>
      </c>
      <c r="K252" s="355">
        <f>SUM(K238:K251)</f>
        <v>1.0000000000000002</v>
      </c>
      <c r="L252" s="265">
        <f>SUM(L238:L251)</f>
        <v>106062</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67" t="s">
        <v>204</v>
      </c>
      <c r="C254" s="369"/>
      <c r="D254" s="369"/>
      <c r="E254" s="369"/>
      <c r="F254" s="369"/>
      <c r="G254" s="369"/>
      <c r="H254" s="369"/>
      <c r="I254" s="369"/>
      <c r="J254" s="382" t="s">
        <v>99</v>
      </c>
      <c r="K254" s="369" t="s">
        <v>100</v>
      </c>
      <c r="L254" s="378" t="s">
        <v>108</v>
      </c>
      <c r="M254" s="36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67" t="s">
        <v>150</v>
      </c>
      <c r="C271" s="379"/>
      <c r="D271" s="381"/>
      <c r="E271" s="381"/>
      <c r="F271" s="381"/>
      <c r="G271" s="381"/>
      <c r="H271" s="381"/>
      <c r="I271" s="381"/>
      <c r="J271" s="382" t="s">
        <v>99</v>
      </c>
      <c r="K271" s="369" t="s">
        <v>100</v>
      </c>
      <c r="L271" s="378" t="s">
        <v>108</v>
      </c>
      <c r="M271" s="36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3</v>
      </c>
      <c r="K281" s="355">
        <f t="shared" si="7"/>
        <v>1</v>
      </c>
      <c r="L281" s="265">
        <v>69</v>
      </c>
      <c r="M281" s="355">
        <f t="shared" si="8"/>
        <v>1</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3</v>
      </c>
      <c r="K286" s="355">
        <f>SUM(K272:K284)</f>
        <v>1</v>
      </c>
      <c r="L286" s="265">
        <f>SUM(L272:L284)</f>
        <v>69</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7" t="s">
        <v>151</v>
      </c>
      <c r="C288" s="263"/>
      <c r="D288" s="357"/>
      <c r="E288" s="357"/>
      <c r="F288" s="357"/>
      <c r="G288" s="357"/>
      <c r="H288" s="357"/>
      <c r="I288" s="357"/>
      <c r="J288" s="358">
        <f>J286+J269+J252</f>
        <v>2625</v>
      </c>
      <c r="K288" s="355"/>
      <c r="L288" s="359">
        <f>+L286+L269+L252</f>
        <v>106131</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89</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239</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90</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NOVEMBER 2010</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honeticPr fontId="0" type="noConversion"/>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sheetPr>
  <dimension ref="A1:IV299"/>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5.3499999999999999E-2</v>
      </c>
      <c r="L16" s="232" t="s">
        <v>133</v>
      </c>
      <c r="M16" s="231">
        <v>0.94650000000000001</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40619</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3"/>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72" t="s">
        <v>162</v>
      </c>
      <c r="C24" s="273"/>
      <c r="D24" s="267" t="s">
        <v>134</v>
      </c>
      <c r="E24" s="267"/>
      <c r="F24" s="267" t="s">
        <v>152</v>
      </c>
      <c r="G24" s="267"/>
      <c r="H24" s="267" t="s">
        <v>135</v>
      </c>
      <c r="I24" s="267"/>
      <c r="J24" s="267"/>
      <c r="K24" s="273"/>
      <c r="L24" s="267"/>
      <c r="M24" s="268"/>
      <c r="N24" s="269"/>
      <c r="O24" s="270"/>
      <c r="P24" s="5"/>
    </row>
    <row r="25" spans="1:16" ht="15.6" x14ac:dyDescent="0.3">
      <c r="A25" s="274"/>
      <c r="B25" s="275" t="s">
        <v>163</v>
      </c>
      <c r="C25" s="267"/>
      <c r="D25" s="273" t="s">
        <v>134</v>
      </c>
      <c r="E25" s="273"/>
      <c r="F25" s="273" t="s">
        <v>152</v>
      </c>
      <c r="G25" s="273"/>
      <c r="H25" s="273" t="s">
        <v>135</v>
      </c>
      <c r="I25" s="273"/>
      <c r="J25" s="273"/>
      <c r="K25" s="267"/>
      <c r="L25" s="276"/>
      <c r="M25" s="268"/>
      <c r="N25" s="268"/>
      <c r="O25" s="266"/>
      <c r="P25" s="5"/>
    </row>
    <row r="26" spans="1:16" ht="15.6" x14ac:dyDescent="0.3">
      <c r="A26" s="274"/>
      <c r="B26" s="277" t="s">
        <v>164</v>
      </c>
      <c r="C26" s="267"/>
      <c r="D26" s="273" t="s">
        <v>134</v>
      </c>
      <c r="E26" s="273"/>
      <c r="F26" s="273" t="s">
        <v>152</v>
      </c>
      <c r="G26" s="273"/>
      <c r="H26" s="273" t="s">
        <v>135</v>
      </c>
      <c r="I26" s="273"/>
      <c r="J26" s="273"/>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87">
        <f>SUM(D28:H28)</f>
        <v>268600</v>
      </c>
      <c r="O28" s="281"/>
      <c r="P28" s="5"/>
    </row>
    <row r="29" spans="1:16" ht="15.6" x14ac:dyDescent="0.3">
      <c r="A29" s="274"/>
      <c r="B29" s="263" t="s">
        <v>128</v>
      </c>
      <c r="C29" s="278"/>
      <c r="D29" s="279">
        <f>D28*D32</f>
        <v>99762.8514</v>
      </c>
      <c r="E29" s="279"/>
      <c r="F29" s="279">
        <f>F28*F32</f>
        <v>3183.8564699999997</v>
      </c>
      <c r="G29" s="279"/>
      <c r="H29" s="279">
        <f>H28*H32</f>
        <v>3183.8564699999997</v>
      </c>
      <c r="I29" s="279"/>
      <c r="J29" s="284"/>
      <c r="K29" s="279"/>
      <c r="L29" s="279"/>
      <c r="M29" s="280"/>
      <c r="N29" s="279">
        <f>SUM(D29:H29)</f>
        <v>106130.56434</v>
      </c>
      <c r="O29" s="281"/>
      <c r="P29" s="5"/>
    </row>
    <row r="30" spans="1:16" ht="15.6" x14ac:dyDescent="0.3">
      <c r="A30" s="274"/>
      <c r="B30" s="275" t="s">
        <v>130</v>
      </c>
      <c r="C30" s="278"/>
      <c r="D30" s="285">
        <f>D28*D31</f>
        <v>97526.354699999996</v>
      </c>
      <c r="E30" s="285"/>
      <c r="F30" s="285">
        <f>F28*F31</f>
        <v>3112.4776499999998</v>
      </c>
      <c r="G30" s="285"/>
      <c r="H30" s="285">
        <f>H28*H31</f>
        <v>3112.4776499999998</v>
      </c>
      <c r="I30" s="285"/>
      <c r="J30" s="288"/>
      <c r="K30" s="279"/>
      <c r="L30" s="279"/>
      <c r="M30" s="280"/>
      <c r="N30" s="289">
        <f>SUM(D30:I30)+1</f>
        <v>103752.31</v>
      </c>
      <c r="O30" s="281"/>
      <c r="P30" s="5"/>
    </row>
    <row r="31" spans="1:16" ht="15.6" x14ac:dyDescent="0.3">
      <c r="A31" s="262"/>
      <c r="B31" s="290" t="s">
        <v>126</v>
      </c>
      <c r="C31" s="291"/>
      <c r="D31" s="292">
        <v>0.37438139999999998</v>
      </c>
      <c r="E31" s="292"/>
      <c r="F31" s="292">
        <v>0.768513</v>
      </c>
      <c r="G31" s="292"/>
      <c r="H31" s="292">
        <v>0.768513</v>
      </c>
      <c r="I31" s="293"/>
      <c r="J31" s="293"/>
      <c r="K31" s="294"/>
      <c r="L31" s="294"/>
      <c r="M31" s="269"/>
      <c r="N31" s="269"/>
      <c r="O31" s="270"/>
      <c r="P31" s="5"/>
    </row>
    <row r="32" spans="1:16" ht="15.6" x14ac:dyDescent="0.3">
      <c r="A32" s="262"/>
      <c r="B32" s="290" t="s">
        <v>127</v>
      </c>
      <c r="C32" s="291"/>
      <c r="D32" s="292">
        <v>0.3829668</v>
      </c>
      <c r="E32" s="292"/>
      <c r="F32" s="292">
        <v>0.78613739999999999</v>
      </c>
      <c r="G32" s="292"/>
      <c r="H32" s="292">
        <v>0.78613739999999999</v>
      </c>
      <c r="I32" s="293"/>
      <c r="J32" s="293"/>
      <c r="K32" s="295"/>
      <c r="L32" s="296"/>
      <c r="M32" s="269"/>
      <c r="N32" s="295"/>
      <c r="O32" s="270"/>
      <c r="P32" s="5"/>
    </row>
    <row r="33" spans="1:17" ht="15.6" x14ac:dyDescent="0.3">
      <c r="A33" s="274"/>
      <c r="B33" s="263" t="s">
        <v>9</v>
      </c>
      <c r="C33" s="263"/>
      <c r="D33" s="276" t="s">
        <v>192</v>
      </c>
      <c r="E33" s="276"/>
      <c r="F33" s="276" t="s">
        <v>194</v>
      </c>
      <c r="G33" s="276"/>
      <c r="H33" s="276" t="s">
        <v>196</v>
      </c>
      <c r="I33" s="276"/>
      <c r="J33" s="276"/>
      <c r="K33" s="297"/>
      <c r="L33" s="298"/>
      <c r="M33" s="268"/>
      <c r="N33" s="268"/>
      <c r="O33" s="266"/>
      <c r="P33" s="5"/>
    </row>
    <row r="34" spans="1:17" ht="15.6" x14ac:dyDescent="0.3">
      <c r="A34" s="274"/>
      <c r="B34" s="263" t="s">
        <v>10</v>
      </c>
      <c r="C34" s="263"/>
      <c r="D34" s="298">
        <v>8.6937999999999998E-3</v>
      </c>
      <c r="E34" s="297"/>
      <c r="F34" s="298">
        <v>9.2937999999999996E-3</v>
      </c>
      <c r="G34" s="297"/>
      <c r="H34" s="298">
        <v>1.0293800000000001E-2</v>
      </c>
      <c r="I34" s="297"/>
      <c r="J34" s="298"/>
      <c r="K34" s="297"/>
      <c r="L34" s="298"/>
      <c r="M34" s="268"/>
      <c r="N34" s="297">
        <f>SUMPRODUCT(D34:H34,D29:H29)/N29</f>
        <v>8.7597987467093862E-3</v>
      </c>
      <c r="O34" s="266"/>
      <c r="P34" s="5"/>
    </row>
    <row r="35" spans="1:17" ht="15.6" x14ac:dyDescent="0.3">
      <c r="A35" s="274"/>
      <c r="B35" s="263" t="s">
        <v>11</v>
      </c>
      <c r="C35" s="263"/>
      <c r="D35" s="298">
        <v>8.4469000000000002E-3</v>
      </c>
      <c r="E35" s="297"/>
      <c r="F35" s="298">
        <v>9.0469000000000001E-3</v>
      </c>
      <c r="G35" s="297"/>
      <c r="H35" s="298">
        <v>1.0046899999999999E-2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6.3828442262079135E-2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40617</v>
      </c>
      <c r="O45" s="266"/>
      <c r="P45" s="5"/>
    </row>
    <row r="46" spans="1:17" ht="15.6" x14ac:dyDescent="0.3">
      <c r="A46" s="274"/>
      <c r="B46" s="263" t="s">
        <v>119</v>
      </c>
      <c r="C46" s="263"/>
      <c r="D46" s="305"/>
      <c r="E46" s="305"/>
      <c r="F46" s="305"/>
      <c r="G46" s="305"/>
      <c r="H46" s="305"/>
      <c r="I46" s="305"/>
      <c r="J46" s="263">
        <f>+N46-L46+1</f>
        <v>91</v>
      </c>
      <c r="K46" s="305"/>
      <c r="L46" s="306">
        <v>40436</v>
      </c>
      <c r="M46" s="307"/>
      <c r="N46" s="306">
        <v>40526</v>
      </c>
      <c r="O46" s="266"/>
      <c r="P46" s="5"/>
    </row>
    <row r="47" spans="1:17" ht="15.6" x14ac:dyDescent="0.3">
      <c r="A47" s="274"/>
      <c r="B47" s="263" t="s">
        <v>120</v>
      </c>
      <c r="C47" s="263"/>
      <c r="D47" s="263"/>
      <c r="E47" s="263"/>
      <c r="F47" s="263"/>
      <c r="G47" s="263"/>
      <c r="H47" s="263"/>
      <c r="I47" s="263"/>
      <c r="J47" s="263">
        <f>+N47-L47+1</f>
        <v>90</v>
      </c>
      <c r="K47" s="263"/>
      <c r="L47" s="306">
        <v>40527</v>
      </c>
      <c r="M47" s="307"/>
      <c r="N47" s="306">
        <v>40616</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40603</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260</v>
      </c>
      <c r="C52" s="243"/>
      <c r="D52" s="243"/>
      <c r="E52" s="243"/>
      <c r="F52" s="243"/>
      <c r="G52" s="243"/>
      <c r="H52" s="243"/>
      <c r="I52" s="243"/>
      <c r="J52" s="243"/>
      <c r="K52" s="243"/>
      <c r="L52" s="243"/>
      <c r="M52" s="243"/>
      <c r="N52" s="244"/>
      <c r="O52" s="245"/>
      <c r="P52" s="5"/>
    </row>
    <row r="53" spans="1:16" ht="15.6" x14ac:dyDescent="0.3">
      <c r="A53" s="360"/>
      <c r="B53" s="36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106131</v>
      </c>
      <c r="G56" s="264"/>
      <c r="H56" s="264">
        <f>2379+1027+759</f>
        <v>4165</v>
      </c>
      <c r="I56" s="264"/>
      <c r="J56" s="264">
        <f>1027+759</f>
        <v>1786</v>
      </c>
      <c r="K56" s="264"/>
      <c r="L56" s="264">
        <v>0</v>
      </c>
      <c r="M56" s="264"/>
      <c r="N56" s="265">
        <f>+F56-H56+J56-L56</f>
        <v>103752</v>
      </c>
      <c r="O56" s="266"/>
      <c r="P56" s="5"/>
    </row>
    <row r="57" spans="1:16" ht="15.6" x14ac:dyDescent="0.3">
      <c r="A57" s="262"/>
      <c r="B57" s="263" t="s">
        <v>209</v>
      </c>
      <c r="C57" s="264"/>
      <c r="D57" s="264">
        <v>756</v>
      </c>
      <c r="E57" s="264"/>
      <c r="F57" s="265">
        <v>458</v>
      </c>
      <c r="G57" s="264"/>
      <c r="H57" s="264">
        <v>1</v>
      </c>
      <c r="I57" s="264"/>
      <c r="J57" s="264">
        <v>0</v>
      </c>
      <c r="K57" s="264"/>
      <c r="L57" s="264">
        <v>0</v>
      </c>
      <c r="M57" s="264"/>
      <c r="N57" s="265">
        <f>+F57-H57</f>
        <v>457</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106589</v>
      </c>
      <c r="G59" s="264"/>
      <c r="H59" s="264">
        <f>SUM(H56:H58)</f>
        <v>4166</v>
      </c>
      <c r="I59" s="264"/>
      <c r="J59" s="264">
        <f>SUM(J56:J58)</f>
        <v>1786</v>
      </c>
      <c r="K59" s="264"/>
      <c r="L59" s="264">
        <f>SUM(L56:L58)</f>
        <v>0</v>
      </c>
      <c r="M59" s="264"/>
      <c r="N59" s="264">
        <f>SUM(N56:N58)</f>
        <v>104209</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-458</v>
      </c>
      <c r="G68" s="264"/>
      <c r="H68" s="264"/>
      <c r="I68" s="264"/>
      <c r="J68" s="264"/>
      <c r="K68" s="264"/>
      <c r="L68" s="264"/>
      <c r="M68" s="264"/>
      <c r="N68" s="265">
        <f>-N57</f>
        <v>-457</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106131</v>
      </c>
      <c r="G72" s="264"/>
      <c r="H72" s="264"/>
      <c r="I72" s="264"/>
      <c r="J72" s="264"/>
      <c r="K72" s="264"/>
      <c r="L72" s="264"/>
      <c r="M72" s="264"/>
      <c r="N72" s="264">
        <f>SUM(N59:N71)</f>
        <v>103752</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67" t="s">
        <v>25</v>
      </c>
      <c r="C75" s="367"/>
      <c r="D75" s="368" t="s">
        <v>92</v>
      </c>
      <c r="E75" s="369"/>
      <c r="F75" s="370">
        <f>+L183</f>
        <v>40602</v>
      </c>
      <c r="G75" s="369"/>
      <c r="H75" s="369"/>
      <c r="I75" s="369"/>
      <c r="J75" s="369"/>
      <c r="K75" s="369"/>
      <c r="L75" s="369" t="s">
        <v>105</v>
      </c>
      <c r="M75" s="369"/>
      <c r="N75" s="36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4165+1</f>
        <v>4166</v>
      </c>
      <c r="M77" s="263"/>
      <c r="N77" s="265"/>
      <c r="O77" s="266"/>
      <c r="P77" s="5"/>
    </row>
    <row r="78" spans="1:16" ht="15.6" x14ac:dyDescent="0.3">
      <c r="A78" s="262"/>
      <c r="B78" s="263" t="s">
        <v>176</v>
      </c>
      <c r="C78" s="263"/>
      <c r="D78" s="300"/>
      <c r="E78" s="263"/>
      <c r="F78" s="309"/>
      <c r="G78" s="263"/>
      <c r="H78" s="263"/>
      <c r="I78" s="263"/>
      <c r="J78" s="263"/>
      <c r="K78" s="263"/>
      <c r="L78" s="264"/>
      <c r="M78" s="263"/>
      <c r="N78" s="265">
        <f>1936+103+1115-2500-38-357</f>
        <v>259</v>
      </c>
      <c r="O78" s="266"/>
      <c r="P78" s="5"/>
    </row>
    <row r="79" spans="1:16" ht="15.6" x14ac:dyDescent="0.3">
      <c r="A79" s="262"/>
      <c r="B79" s="263" t="s">
        <v>174</v>
      </c>
      <c r="C79" s="263"/>
      <c r="D79" s="300"/>
      <c r="E79" s="263"/>
      <c r="F79" s="309"/>
      <c r="G79" s="263"/>
      <c r="H79" s="263"/>
      <c r="I79" s="263"/>
      <c r="J79" s="263"/>
      <c r="K79" s="263"/>
      <c r="L79" s="264"/>
      <c r="M79" s="263"/>
      <c r="N79" s="265">
        <f>22+5</f>
        <v>27</v>
      </c>
      <c r="O79" s="266"/>
      <c r="P79" s="5"/>
    </row>
    <row r="80" spans="1:16" ht="15.6" x14ac:dyDescent="0.3">
      <c r="A80" s="262"/>
      <c r="B80" s="263" t="s">
        <v>175</v>
      </c>
      <c r="C80" s="263"/>
      <c r="D80" s="300"/>
      <c r="E80" s="263"/>
      <c r="F80" s="309"/>
      <c r="G80" s="263"/>
      <c r="H80" s="263"/>
      <c r="I80" s="263"/>
      <c r="J80" s="263"/>
      <c r="K80" s="263"/>
      <c r="L80" s="264"/>
      <c r="M80" s="263"/>
      <c r="N80" s="265">
        <v>6</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4166</v>
      </c>
      <c r="M83" s="263"/>
      <c r="N83" s="264">
        <f>SUM(N76:N82)</f>
        <v>292</v>
      </c>
      <c r="O83" s="266"/>
      <c r="P83" s="5"/>
    </row>
    <row r="84" spans="1:17" ht="15.6" x14ac:dyDescent="0.3">
      <c r="A84" s="262"/>
      <c r="B84" s="263" t="s">
        <v>148</v>
      </c>
      <c r="C84" s="263"/>
      <c r="D84" s="263"/>
      <c r="E84" s="263"/>
      <c r="F84" s="263"/>
      <c r="G84" s="263"/>
      <c r="H84" s="263"/>
      <c r="I84" s="263"/>
      <c r="J84" s="263"/>
      <c r="K84" s="263"/>
      <c r="L84" s="264">
        <v>-1027</v>
      </c>
      <c r="M84" s="263"/>
      <c r="N84" s="264">
        <f>-L84</f>
        <v>1027</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3139</v>
      </c>
      <c r="M87" s="263"/>
      <c r="N87" s="264">
        <f>N83+N85+N84+N86</f>
        <v>1319</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-39-1-58</f>
        <v>-98</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-214</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-7</v>
      </c>
      <c r="O95" s="266"/>
      <c r="P95" s="5"/>
      <c r="Q95" s="104"/>
    </row>
    <row r="96" spans="1:17" ht="15.6" x14ac:dyDescent="0.3">
      <c r="A96" s="274" t="s">
        <v>170</v>
      </c>
      <c r="B96" s="263" t="s">
        <v>216</v>
      </c>
      <c r="C96" s="263"/>
      <c r="D96" s="263"/>
      <c r="E96" s="263"/>
      <c r="F96" s="263"/>
      <c r="G96" s="263"/>
      <c r="H96" s="263"/>
      <c r="I96" s="263"/>
      <c r="J96" s="263"/>
      <c r="K96" s="263"/>
      <c r="L96" s="263"/>
      <c r="M96" s="263"/>
      <c r="N96" s="265">
        <v>-8</v>
      </c>
      <c r="O96" s="266"/>
      <c r="P96" s="5"/>
      <c r="Q96" s="104"/>
    </row>
    <row r="97" spans="1:16" ht="15.6" x14ac:dyDescent="0.3">
      <c r="A97" s="274">
        <v>7</v>
      </c>
      <c r="B97" s="263" t="s">
        <v>33</v>
      </c>
      <c r="C97" s="263"/>
      <c r="D97" s="263"/>
      <c r="E97" s="263"/>
      <c r="F97" s="263"/>
      <c r="G97" s="263"/>
      <c r="H97" s="263"/>
      <c r="I97" s="263"/>
      <c r="J97" s="263"/>
      <c r="K97" s="263"/>
      <c r="L97" s="263"/>
      <c r="M97" s="263"/>
      <c r="N97" s="265">
        <v>-9</v>
      </c>
      <c r="O97" s="266"/>
      <c r="P97" s="5"/>
    </row>
    <row r="98" spans="1:16" ht="15.6" x14ac:dyDescent="0.3">
      <c r="A98" s="274">
        <f t="shared" ref="A98:A104" si="0">+A97+1</f>
        <v>8</v>
      </c>
      <c r="B98" s="263" t="s">
        <v>42</v>
      </c>
      <c r="C98" s="263"/>
      <c r="D98" s="263"/>
      <c r="E98" s="263"/>
      <c r="F98" s="263"/>
      <c r="G98" s="263"/>
      <c r="H98" s="263"/>
      <c r="I98" s="263"/>
      <c r="J98" s="263"/>
      <c r="K98" s="263"/>
      <c r="L98" s="264">
        <f>-N98</f>
        <v>-1</v>
      </c>
      <c r="M98" s="263"/>
      <c r="N98" s="265">
        <v>1</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-40</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-941</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-759</v>
      </c>
      <c r="M107" s="264"/>
      <c r="N107" s="265"/>
      <c r="O107" s="266"/>
      <c r="P107" s="5"/>
    </row>
    <row r="108" spans="1:16" ht="15.6" x14ac:dyDescent="0.3">
      <c r="A108" s="274"/>
      <c r="B108" s="263" t="s">
        <v>200</v>
      </c>
      <c r="C108" s="263"/>
      <c r="D108" s="263"/>
      <c r="E108" s="263"/>
      <c r="F108" s="263"/>
      <c r="G108" s="263"/>
      <c r="H108" s="263"/>
      <c r="I108" s="263"/>
      <c r="J108" s="263"/>
      <c r="K108" s="263"/>
      <c r="L108" s="264">
        <v>-2237</v>
      </c>
      <c r="M108" s="264"/>
      <c r="N108" s="265"/>
      <c r="O108" s="266"/>
      <c r="P108" s="5"/>
    </row>
    <row r="109" spans="1:16" ht="15.6" x14ac:dyDescent="0.3">
      <c r="A109" s="274"/>
      <c r="B109" s="263" t="s">
        <v>201</v>
      </c>
      <c r="C109" s="263"/>
      <c r="D109" s="263"/>
      <c r="E109" s="263"/>
      <c r="F109" s="263"/>
      <c r="G109" s="263"/>
      <c r="H109" s="263"/>
      <c r="I109" s="263"/>
      <c r="J109" s="263"/>
      <c r="K109" s="263"/>
      <c r="L109" s="264">
        <v>-71</v>
      </c>
      <c r="M109" s="264"/>
      <c r="N109" s="265"/>
      <c r="O109" s="266"/>
      <c r="P109" s="5"/>
    </row>
    <row r="110" spans="1:16" ht="15.6" x14ac:dyDescent="0.3">
      <c r="A110" s="274"/>
      <c r="B110" s="263" t="s">
        <v>202</v>
      </c>
      <c r="C110" s="263"/>
      <c r="D110" s="263"/>
      <c r="E110" s="263"/>
      <c r="F110" s="263"/>
      <c r="G110" s="263"/>
      <c r="H110" s="263"/>
      <c r="I110" s="263"/>
      <c r="J110" s="263"/>
      <c r="K110" s="263"/>
      <c r="L110" s="264">
        <v>-71</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-3138</v>
      </c>
      <c r="M111" s="264"/>
      <c r="N111" s="264">
        <f>SUM(N88:N109)</f>
        <v>-1319</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FEBRUARY 2011</v>
      </c>
      <c r="C115" s="243"/>
      <c r="D115" s="243"/>
      <c r="E115" s="243"/>
      <c r="F115" s="243"/>
      <c r="G115" s="243"/>
      <c r="H115" s="243"/>
      <c r="I115" s="243"/>
      <c r="J115" s="243"/>
      <c r="K115" s="243"/>
      <c r="L115" s="243"/>
      <c r="M115" s="243"/>
      <c r="N115" s="247"/>
      <c r="O115" s="245"/>
      <c r="P115" s="5"/>
    </row>
    <row r="116" spans="1:17" ht="15.6" x14ac:dyDescent="0.3">
      <c r="A116" s="371"/>
      <c r="B116" s="374"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f>L98</f>
        <v>-1</v>
      </c>
      <c r="O144" s="266"/>
      <c r="P144" s="5"/>
    </row>
    <row r="145" spans="1:256" ht="15.6" x14ac:dyDescent="0.3">
      <c r="A145" s="262"/>
      <c r="B145" s="263" t="s">
        <v>51</v>
      </c>
      <c r="C145" s="263"/>
      <c r="D145" s="263"/>
      <c r="E145" s="263"/>
      <c r="F145" s="263"/>
      <c r="G145" s="263"/>
      <c r="H145" s="263"/>
      <c r="I145" s="263"/>
      <c r="J145" s="263"/>
      <c r="K145" s="263"/>
      <c r="L145" s="263"/>
      <c r="M145" s="263"/>
      <c r="N145" s="265">
        <f>+N143+N144</f>
        <v>-1</v>
      </c>
      <c r="O145" s="266"/>
      <c r="P145" s="5"/>
    </row>
    <row r="146" spans="1:256" ht="15.6" x14ac:dyDescent="0.3">
      <c r="A146" s="262"/>
      <c r="B146" s="263" t="s">
        <v>264</v>
      </c>
      <c r="C146" s="263"/>
      <c r="D146" s="263"/>
      <c r="E146" s="263"/>
      <c r="F146" s="263"/>
      <c r="G146" s="263"/>
      <c r="H146" s="263"/>
      <c r="I146" s="263"/>
      <c r="J146" s="263"/>
      <c r="K146" s="263"/>
      <c r="L146" s="263"/>
      <c r="M146" s="263"/>
      <c r="N146" s="265">
        <f>N98</f>
        <v>1</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103752</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103752</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+'Nov 10'!N161</f>
        <v>458</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457</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+'Nov 10'!L168</f>
        <v>13436</v>
      </c>
      <c r="M166" s="263"/>
      <c r="N166" s="265">
        <f>K166+L166</f>
        <v>13436</v>
      </c>
      <c r="O166" s="266"/>
      <c r="P166" s="5"/>
    </row>
    <row r="167" spans="1:256" ht="15.6" x14ac:dyDescent="0.3">
      <c r="A167" s="262"/>
      <c r="B167" s="263" t="s">
        <v>58</v>
      </c>
      <c r="C167" s="263"/>
      <c r="D167" s="263"/>
      <c r="E167" s="263"/>
      <c r="F167" s="263"/>
      <c r="G167" s="263"/>
      <c r="H167" s="263"/>
      <c r="I167" s="263"/>
      <c r="J167" s="263"/>
      <c r="K167" s="264">
        <v>0</v>
      </c>
      <c r="L167" s="264">
        <f>-L107</f>
        <v>759</v>
      </c>
      <c r="M167" s="263"/>
      <c r="N167" s="265">
        <f>K167+L167</f>
        <v>759</v>
      </c>
      <c r="O167" s="266"/>
      <c r="P167" s="5"/>
    </row>
    <row r="168" spans="1:256" ht="15.6" x14ac:dyDescent="0.3">
      <c r="A168" s="262"/>
      <c r="B168" s="263" t="s">
        <v>59</v>
      </c>
      <c r="C168" s="263"/>
      <c r="D168" s="263"/>
      <c r="E168" s="263"/>
      <c r="F168" s="263"/>
      <c r="G168" s="263"/>
      <c r="H168" s="263"/>
      <c r="I168" s="263"/>
      <c r="J168" s="263"/>
      <c r="K168" s="265">
        <f>K166+K167</f>
        <v>0</v>
      </c>
      <c r="L168" s="265">
        <f>L167+L166</f>
        <v>14195</v>
      </c>
      <c r="M168" s="263"/>
      <c r="N168" s="265">
        <f>K168+L168</f>
        <v>14195</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5.6962616822429908</v>
      </c>
      <c r="O173" s="266" t="s">
        <v>115</v>
      </c>
      <c r="P173" s="5"/>
    </row>
    <row r="174" spans="1:256" ht="15.6" x14ac:dyDescent="0.3">
      <c r="A174" s="262"/>
      <c r="B174" s="263" t="s">
        <v>63</v>
      </c>
      <c r="C174" s="263"/>
      <c r="D174" s="263"/>
      <c r="E174" s="263"/>
      <c r="F174" s="263"/>
      <c r="G174" s="263"/>
      <c r="H174" s="263"/>
      <c r="I174" s="263"/>
      <c r="J174" s="263"/>
      <c r="K174" s="263"/>
      <c r="L174" s="263"/>
      <c r="M174" s="263"/>
      <c r="N174" s="315">
        <v>1.82</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143.57142857142858</v>
      </c>
      <c r="O175" s="266" t="s">
        <v>115</v>
      </c>
      <c r="P175" s="5"/>
    </row>
    <row r="176" spans="1:256" ht="15.6" x14ac:dyDescent="0.3">
      <c r="A176" s="262"/>
      <c r="B176" s="263" t="s">
        <v>65</v>
      </c>
      <c r="C176" s="263"/>
      <c r="D176" s="263"/>
      <c r="E176" s="263"/>
      <c r="F176" s="263"/>
      <c r="G176" s="263"/>
      <c r="H176" s="263"/>
      <c r="I176" s="263"/>
      <c r="J176" s="263"/>
      <c r="K176" s="263"/>
      <c r="L176" s="263"/>
      <c r="M176" s="263"/>
      <c r="N176" s="315">
        <v>37.44</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124.75</v>
      </c>
      <c r="O177" s="266" t="s">
        <v>115</v>
      </c>
      <c r="P177" s="5"/>
    </row>
    <row r="178" spans="1:16" ht="15.6" x14ac:dyDescent="0.3">
      <c r="A178" s="262"/>
      <c r="B178" s="263" t="s">
        <v>167</v>
      </c>
      <c r="C178" s="263"/>
      <c r="D178" s="263"/>
      <c r="E178" s="263"/>
      <c r="F178" s="263"/>
      <c r="G178" s="263"/>
      <c r="H178" s="263"/>
      <c r="I178" s="263"/>
      <c r="J178" s="263"/>
      <c r="K178" s="263"/>
      <c r="L178" s="263"/>
      <c r="M178" s="263"/>
      <c r="N178" s="315">
        <v>35.42</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FEBRUARY 2011</v>
      </c>
      <c r="C182" s="250"/>
      <c r="D182" s="250"/>
      <c r="E182" s="250"/>
      <c r="F182" s="250"/>
      <c r="G182" s="250"/>
      <c r="H182" s="250"/>
      <c r="I182" s="250"/>
      <c r="J182" s="250"/>
      <c r="K182" s="250"/>
      <c r="L182" s="250"/>
      <c r="M182" s="250"/>
      <c r="N182" s="250"/>
      <c r="O182" s="251"/>
      <c r="P182" s="5"/>
    </row>
    <row r="183" spans="1:16" ht="15.6" x14ac:dyDescent="0.3">
      <c r="A183" s="371"/>
      <c r="B183" s="374" t="s">
        <v>66</v>
      </c>
      <c r="C183" s="375"/>
      <c r="D183" s="376"/>
      <c r="E183" s="376"/>
      <c r="F183" s="376"/>
      <c r="G183" s="376"/>
      <c r="H183" s="376"/>
      <c r="I183" s="376"/>
      <c r="J183" s="376"/>
      <c r="K183" s="376"/>
      <c r="L183" s="376">
        <v>40602</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5.3560000000000003E-2</v>
      </c>
      <c r="M188" s="263"/>
      <c r="N188" s="263"/>
      <c r="O188" s="266"/>
      <c r="P188" s="5"/>
    </row>
    <row r="189" spans="1:16" ht="15.6" x14ac:dyDescent="0.3">
      <c r="A189" s="321"/>
      <c r="B189" s="263" t="s">
        <v>212</v>
      </c>
      <c r="C189" s="322"/>
      <c r="D189" s="303"/>
      <c r="E189" s="303"/>
      <c r="F189" s="303"/>
      <c r="G189" s="303"/>
      <c r="H189" s="303"/>
      <c r="I189" s="303"/>
      <c r="J189" s="303"/>
      <c r="K189" s="303"/>
      <c r="L189" s="297">
        <f>N34</f>
        <v>8.7597987467093862E-3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4.4800201253290615E-2</v>
      </c>
      <c r="M190" s="263"/>
      <c r="N190" s="263"/>
      <c r="O190" s="266"/>
      <c r="P190" s="5"/>
    </row>
    <row r="191" spans="1:16" ht="15.6" x14ac:dyDescent="0.3">
      <c r="A191" s="321"/>
      <c r="B191" s="263" t="s">
        <v>203</v>
      </c>
      <c r="C191" s="322"/>
      <c r="D191" s="303"/>
      <c r="E191" s="303"/>
      <c r="F191" s="303"/>
      <c r="G191" s="303"/>
      <c r="H191" s="303"/>
      <c r="I191" s="303"/>
      <c r="J191" s="303"/>
      <c r="K191" s="303"/>
      <c r="L191" s="297">
        <f>+N87/F59</f>
        <v>1.2374635281314206E-2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5.81</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3.9243953227614932E-2</v>
      </c>
      <c r="M197" s="263"/>
      <c r="N197" s="263"/>
      <c r="O197" s="266"/>
      <c r="P197" s="5"/>
    </row>
    <row r="198" spans="1:16" ht="15.6" x14ac:dyDescent="0.3">
      <c r="A198" s="321"/>
      <c r="B198" s="263" t="s">
        <v>74</v>
      </c>
      <c r="C198" s="322"/>
      <c r="D198" s="303"/>
      <c r="E198" s="303"/>
      <c r="F198" s="303"/>
      <c r="G198" s="303"/>
      <c r="H198" s="303"/>
      <c r="I198" s="303"/>
      <c r="J198" s="303"/>
      <c r="K198" s="303"/>
      <c r="L198" s="297">
        <v>0.26540000000000002</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67" t="s">
        <v>75</v>
      </c>
      <c r="C200" s="369"/>
      <c r="D200" s="369"/>
      <c r="E200" s="369"/>
      <c r="F200" s="369"/>
      <c r="G200" s="369"/>
      <c r="H200" s="369"/>
      <c r="I200" s="369"/>
      <c r="J200" s="369"/>
      <c r="K200" s="369" t="s">
        <v>99</v>
      </c>
      <c r="L200" s="378" t="s">
        <v>106</v>
      </c>
      <c r="M200" s="361"/>
      <c r="N200" s="361"/>
      <c r="O200" s="361"/>
      <c r="P200" s="5"/>
    </row>
    <row r="201" spans="1:16" ht="15.6" x14ac:dyDescent="0.3">
      <c r="A201" s="330"/>
      <c r="B201" s="263" t="s">
        <v>76</v>
      </c>
      <c r="C201" s="264"/>
      <c r="D201" s="276"/>
      <c r="E201" s="276"/>
      <c r="F201" s="276"/>
      <c r="G201" s="276"/>
      <c r="H201" s="276"/>
      <c r="I201" s="276"/>
      <c r="J201" s="276"/>
      <c r="K201" s="276">
        <v>8</v>
      </c>
      <c r="L201" s="331">
        <v>488</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3</v>
      </c>
      <c r="L203" s="331">
        <f>+L286</f>
        <v>69</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72" t="s">
        <v>81</v>
      </c>
      <c r="C207" s="272"/>
      <c r="D207" s="272"/>
      <c r="E207" s="272"/>
      <c r="F207" s="272"/>
      <c r="G207" s="272"/>
      <c r="H207" s="272"/>
      <c r="I207" s="272"/>
      <c r="J207" s="272"/>
      <c r="K207" s="343"/>
      <c r="L207" s="344">
        <f>N144</f>
        <v>-1</v>
      </c>
      <c r="M207" s="291"/>
      <c r="N207" s="337"/>
      <c r="O207" s="342"/>
      <c r="P207" s="5"/>
    </row>
    <row r="208" spans="1:16" ht="15.6" x14ac:dyDescent="0.3">
      <c r="A208" s="330"/>
      <c r="B208" s="272" t="s">
        <v>82</v>
      </c>
      <c r="C208" s="345"/>
      <c r="D208" s="272"/>
      <c r="E208" s="272"/>
      <c r="F208" s="272"/>
      <c r="G208" s="272"/>
      <c r="H208" s="272"/>
      <c r="I208" s="272"/>
      <c r="J208" s="272"/>
      <c r="K208" s="343"/>
      <c r="L208" s="344">
        <f>'Nov 10'!L208+L207</f>
        <v>36</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67" t="s">
        <v>258</v>
      </c>
      <c r="C220" s="369"/>
      <c r="D220" s="369"/>
      <c r="E220" s="369"/>
      <c r="F220" s="369"/>
      <c r="G220" s="369"/>
      <c r="H220" s="369"/>
      <c r="I220" s="369"/>
      <c r="J220" s="382" t="s">
        <v>99</v>
      </c>
      <c r="K220" s="369" t="s">
        <v>100</v>
      </c>
      <c r="L220" s="378" t="s">
        <v>108</v>
      </c>
      <c r="M220" s="369" t="s">
        <v>100</v>
      </c>
      <c r="N220" s="361"/>
      <c r="O220" s="367"/>
      <c r="P220" s="5"/>
    </row>
    <row r="221" spans="1:17" ht="15.6" x14ac:dyDescent="0.3">
      <c r="A221" s="262"/>
      <c r="B221" s="264" t="s">
        <v>85</v>
      </c>
      <c r="C221" s="354"/>
      <c r="D221" s="354"/>
      <c r="E221" s="354"/>
      <c r="F221" s="354"/>
      <c r="G221" s="354"/>
      <c r="H221" s="354"/>
      <c r="I221" s="354"/>
      <c r="J221" s="264">
        <f t="shared" ref="J221:J233" si="1">+J238+J255+J272</f>
        <v>2388</v>
      </c>
      <c r="K221" s="355">
        <f t="shared" ref="K221:K233" si="2">J221/$J$235</f>
        <v>0.92954456987154532</v>
      </c>
      <c r="L221" s="265">
        <f t="shared" ref="L221:L233" si="3">+L238+L255+L272</f>
        <v>93104</v>
      </c>
      <c r="M221" s="355">
        <f t="shared" ref="M221:M233" si="4">L221/$L$235</f>
        <v>0.89737065309584396</v>
      </c>
      <c r="N221" s="332"/>
      <c r="O221" s="356"/>
      <c r="P221" s="5"/>
    </row>
    <row r="222" spans="1:17" ht="15.6" x14ac:dyDescent="0.3">
      <c r="A222" s="262"/>
      <c r="B222" s="264" t="s">
        <v>86</v>
      </c>
      <c r="C222" s="354"/>
      <c r="D222" s="354"/>
      <c r="E222" s="354"/>
      <c r="F222" s="354"/>
      <c r="G222" s="354"/>
      <c r="H222" s="354"/>
      <c r="I222" s="354"/>
      <c r="J222" s="264">
        <f t="shared" si="1"/>
        <v>68</v>
      </c>
      <c r="K222" s="355">
        <f t="shared" si="2"/>
        <v>2.6469443363176332E-2</v>
      </c>
      <c r="L222" s="265">
        <f t="shared" si="3"/>
        <v>3061</v>
      </c>
      <c r="M222" s="355">
        <f t="shared" si="4"/>
        <v>2.9503045724419769E-2</v>
      </c>
      <c r="N222" s="332"/>
      <c r="O222" s="356"/>
      <c r="P222" s="5"/>
      <c r="Q222" s="104"/>
    </row>
    <row r="223" spans="1:17" ht="15.6" x14ac:dyDescent="0.3">
      <c r="A223" s="262"/>
      <c r="B223" s="264" t="s">
        <v>87</v>
      </c>
      <c r="C223" s="354"/>
      <c r="D223" s="354"/>
      <c r="E223" s="354"/>
      <c r="F223" s="354"/>
      <c r="G223" s="354"/>
      <c r="H223" s="354"/>
      <c r="I223" s="354"/>
      <c r="J223" s="264">
        <f t="shared" si="1"/>
        <v>31</v>
      </c>
      <c r="K223" s="355">
        <f t="shared" si="2"/>
        <v>1.2066952121448035E-2</v>
      </c>
      <c r="L223" s="265">
        <f t="shared" si="3"/>
        <v>1772</v>
      </c>
      <c r="M223" s="355">
        <f t="shared" si="4"/>
        <v>1.7079188834914025E-2</v>
      </c>
      <c r="N223" s="332"/>
      <c r="O223" s="356"/>
      <c r="P223" s="5"/>
    </row>
    <row r="224" spans="1:17" ht="15.6" x14ac:dyDescent="0.3">
      <c r="A224" s="262"/>
      <c r="B224" s="264" t="s">
        <v>145</v>
      </c>
      <c r="C224" s="354"/>
      <c r="D224" s="354"/>
      <c r="E224" s="354"/>
      <c r="F224" s="354"/>
      <c r="G224" s="354"/>
      <c r="H224" s="354"/>
      <c r="I224" s="354"/>
      <c r="J224" s="264">
        <f t="shared" si="1"/>
        <v>16</v>
      </c>
      <c r="K224" s="355">
        <f t="shared" si="2"/>
        <v>6.2281043207473722E-3</v>
      </c>
      <c r="L224" s="265">
        <f t="shared" si="3"/>
        <v>909</v>
      </c>
      <c r="M224" s="355">
        <f t="shared" si="4"/>
        <v>8.7612768910478832E-3</v>
      </c>
      <c r="N224" s="332"/>
      <c r="O224" s="356"/>
      <c r="P224" s="5"/>
      <c r="Q224" s="104"/>
    </row>
    <row r="225" spans="1:17" ht="15.6" x14ac:dyDescent="0.3">
      <c r="A225" s="262"/>
      <c r="B225" s="264" t="s">
        <v>146</v>
      </c>
      <c r="C225" s="354"/>
      <c r="D225" s="354"/>
      <c r="E225" s="354"/>
      <c r="F225" s="354"/>
      <c r="G225" s="354"/>
      <c r="H225" s="354"/>
      <c r="I225" s="354"/>
      <c r="J225" s="264">
        <f t="shared" si="1"/>
        <v>15</v>
      </c>
      <c r="K225" s="355">
        <f t="shared" si="2"/>
        <v>5.8388478007006615E-3</v>
      </c>
      <c r="L225" s="265">
        <f t="shared" si="3"/>
        <v>1089</v>
      </c>
      <c r="M225" s="355">
        <f t="shared" si="4"/>
        <v>1.049618320610687E-2</v>
      </c>
      <c r="N225" s="332"/>
      <c r="O225" s="356"/>
      <c r="P225" s="5"/>
    </row>
    <row r="226" spans="1:17" ht="15.6" x14ac:dyDescent="0.3">
      <c r="A226" s="262"/>
      <c r="B226" s="264" t="s">
        <v>147</v>
      </c>
      <c r="C226" s="354"/>
      <c r="D226" s="354"/>
      <c r="E226" s="354"/>
      <c r="F226" s="354"/>
      <c r="G226" s="354"/>
      <c r="H226" s="354"/>
      <c r="I226" s="354"/>
      <c r="J226" s="264">
        <f t="shared" si="1"/>
        <v>9</v>
      </c>
      <c r="K226" s="355">
        <f t="shared" si="2"/>
        <v>3.5033086804203972E-3</v>
      </c>
      <c r="L226" s="265">
        <f t="shared" si="3"/>
        <v>467</v>
      </c>
      <c r="M226" s="355">
        <f t="shared" si="4"/>
        <v>4.501118050736371E-3</v>
      </c>
      <c r="N226" s="332"/>
      <c r="O226" s="356"/>
      <c r="P226" s="5"/>
      <c r="Q226" s="104"/>
    </row>
    <row r="227" spans="1:17" ht="15.6" x14ac:dyDescent="0.3">
      <c r="A227" s="262"/>
      <c r="B227" s="264" t="s">
        <v>227</v>
      </c>
      <c r="C227" s="354"/>
      <c r="D227" s="354"/>
      <c r="E227" s="354"/>
      <c r="F227" s="354"/>
      <c r="G227" s="354"/>
      <c r="H227" s="354"/>
      <c r="I227" s="354"/>
      <c r="J227" s="264">
        <f t="shared" si="1"/>
        <v>16</v>
      </c>
      <c r="K227" s="355">
        <f t="shared" si="2"/>
        <v>6.2281043207473722E-3</v>
      </c>
      <c r="L227" s="265">
        <f t="shared" si="3"/>
        <v>870</v>
      </c>
      <c r="M227" s="355">
        <f t="shared" si="4"/>
        <v>8.385380522785103E-3</v>
      </c>
      <c r="N227" s="332"/>
      <c r="O227" s="356"/>
      <c r="P227" s="5"/>
    </row>
    <row r="228" spans="1:17" ht="15.6" x14ac:dyDescent="0.3">
      <c r="A228" s="262"/>
      <c r="B228" s="264" t="s">
        <v>228</v>
      </c>
      <c r="C228" s="354"/>
      <c r="D228" s="354"/>
      <c r="E228" s="354"/>
      <c r="F228" s="354"/>
      <c r="G228" s="354"/>
      <c r="H228" s="354"/>
      <c r="I228" s="354"/>
      <c r="J228" s="264">
        <f t="shared" si="1"/>
        <v>11</v>
      </c>
      <c r="K228" s="355">
        <f t="shared" si="2"/>
        <v>4.2818217205138186E-3</v>
      </c>
      <c r="L228" s="265">
        <f t="shared" si="3"/>
        <v>596</v>
      </c>
      <c r="M228" s="355">
        <f t="shared" si="4"/>
        <v>5.7444675765286456E-3</v>
      </c>
      <c r="N228" s="332"/>
      <c r="O228" s="356"/>
      <c r="P228" s="5"/>
      <c r="Q228" s="104"/>
    </row>
    <row r="229" spans="1:17" ht="15.6" x14ac:dyDescent="0.3">
      <c r="A229" s="262"/>
      <c r="B229" s="264" t="s">
        <v>229</v>
      </c>
      <c r="C229" s="354"/>
      <c r="D229" s="354"/>
      <c r="E229" s="354"/>
      <c r="F229" s="354"/>
      <c r="G229" s="354"/>
      <c r="H229" s="354"/>
      <c r="I229" s="354"/>
      <c r="J229" s="264">
        <f t="shared" si="1"/>
        <v>5</v>
      </c>
      <c r="K229" s="355">
        <f t="shared" si="2"/>
        <v>1.946282600233554E-3</v>
      </c>
      <c r="L229" s="265">
        <f t="shared" si="3"/>
        <v>360</v>
      </c>
      <c r="M229" s="355">
        <f t="shared" si="4"/>
        <v>3.4698126301179735E-3</v>
      </c>
      <c r="N229" s="332"/>
      <c r="O229" s="356"/>
      <c r="P229" s="5"/>
      <c r="Q229" s="104"/>
    </row>
    <row r="230" spans="1:17" ht="15.6" x14ac:dyDescent="0.3">
      <c r="A230" s="262"/>
      <c r="B230" s="264" t="s">
        <v>230</v>
      </c>
      <c r="C230" s="354"/>
      <c r="D230" s="354"/>
      <c r="E230" s="354"/>
      <c r="F230" s="354"/>
      <c r="G230" s="354"/>
      <c r="H230" s="354"/>
      <c r="I230" s="354"/>
      <c r="J230" s="264">
        <f t="shared" si="1"/>
        <v>1</v>
      </c>
      <c r="K230" s="355">
        <f t="shared" si="2"/>
        <v>3.8925652004671076E-4</v>
      </c>
      <c r="L230" s="265">
        <f t="shared" si="3"/>
        <v>36</v>
      </c>
      <c r="M230" s="355">
        <f t="shared" si="4"/>
        <v>3.4698126301179735E-4</v>
      </c>
      <c r="N230" s="332"/>
      <c r="O230" s="356"/>
      <c r="P230" s="5"/>
      <c r="Q230" s="104"/>
    </row>
    <row r="231" spans="1:17" ht="15.6" x14ac:dyDescent="0.3">
      <c r="A231" s="262"/>
      <c r="B231" s="264" t="s">
        <v>231</v>
      </c>
      <c r="C231" s="354"/>
      <c r="D231" s="354"/>
      <c r="E231" s="354"/>
      <c r="F231" s="354"/>
      <c r="G231" s="354"/>
      <c r="H231" s="354"/>
      <c r="I231" s="354"/>
      <c r="J231" s="264">
        <f t="shared" si="1"/>
        <v>5</v>
      </c>
      <c r="K231" s="355">
        <f t="shared" si="2"/>
        <v>1.946282600233554E-3</v>
      </c>
      <c r="L231" s="265">
        <f t="shared" si="3"/>
        <v>1119</v>
      </c>
      <c r="M231" s="355">
        <f t="shared" si="4"/>
        <v>1.0785334258616702E-2</v>
      </c>
      <c r="N231" s="332"/>
      <c r="O231" s="356"/>
      <c r="P231" s="5"/>
      <c r="Q231" s="104"/>
    </row>
    <row r="232" spans="1:17" ht="15.6" x14ac:dyDescent="0.3">
      <c r="A232" s="262"/>
      <c r="B232" s="264" t="s">
        <v>232</v>
      </c>
      <c r="C232" s="354"/>
      <c r="D232" s="354"/>
      <c r="E232" s="354"/>
      <c r="F232" s="354"/>
      <c r="G232" s="354"/>
      <c r="H232" s="354"/>
      <c r="I232" s="354"/>
      <c r="J232" s="264">
        <f t="shared" si="1"/>
        <v>2</v>
      </c>
      <c r="K232" s="355">
        <f t="shared" si="2"/>
        <v>7.7851304009342152E-4</v>
      </c>
      <c r="L232" s="265">
        <f t="shared" si="3"/>
        <v>181</v>
      </c>
      <c r="M232" s="355">
        <f t="shared" si="4"/>
        <v>1.7445446834759811E-3</v>
      </c>
      <c r="N232" s="332"/>
      <c r="O232" s="356"/>
      <c r="P232" s="5"/>
      <c r="Q232" s="104"/>
    </row>
    <row r="233" spans="1:17" ht="15.6" x14ac:dyDescent="0.3">
      <c r="A233" s="262"/>
      <c r="B233" s="264" t="s">
        <v>233</v>
      </c>
      <c r="C233" s="354"/>
      <c r="D233" s="354"/>
      <c r="E233" s="354"/>
      <c r="F233" s="354"/>
      <c r="G233" s="354"/>
      <c r="H233" s="354"/>
      <c r="I233" s="354"/>
      <c r="J233" s="264">
        <f t="shared" si="1"/>
        <v>2</v>
      </c>
      <c r="K233" s="355">
        <f t="shared" si="2"/>
        <v>7.7851304009342152E-4</v>
      </c>
      <c r="L233" s="265">
        <f t="shared" si="3"/>
        <v>188</v>
      </c>
      <c r="M233" s="355">
        <f t="shared" si="4"/>
        <v>1.8120132623949418E-3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2569</v>
      </c>
      <c r="K235" s="355">
        <f>SUM(K221:K234)</f>
        <v>1</v>
      </c>
      <c r="L235" s="265">
        <f>SUM(L221:L234)</f>
        <v>103752</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67" t="s">
        <v>149</v>
      </c>
      <c r="C237" s="369"/>
      <c r="D237" s="369"/>
      <c r="E237" s="369"/>
      <c r="F237" s="369"/>
      <c r="G237" s="369"/>
      <c r="H237" s="369"/>
      <c r="I237" s="369"/>
      <c r="J237" s="382" t="s">
        <v>99</v>
      </c>
      <c r="K237" s="369" t="s">
        <v>100</v>
      </c>
      <c r="L237" s="378" t="s">
        <v>108</v>
      </c>
      <c r="M237" s="369" t="s">
        <v>100</v>
      </c>
      <c r="N237" s="361"/>
      <c r="O237" s="367"/>
      <c r="P237" s="5"/>
    </row>
    <row r="238" spans="1:17" ht="15.6" x14ac:dyDescent="0.3">
      <c r="A238" s="262"/>
      <c r="B238" s="264" t="s">
        <v>85</v>
      </c>
      <c r="C238" s="354"/>
      <c r="D238" s="354"/>
      <c r="E238" s="354"/>
      <c r="F238" s="354"/>
      <c r="G238" s="354"/>
      <c r="H238" s="354"/>
      <c r="I238" s="354"/>
      <c r="J238" s="264">
        <v>2388</v>
      </c>
      <c r="K238" s="355">
        <f t="shared" ref="K238:K250" si="5">J238/$J$252</f>
        <v>0.9306313328137179</v>
      </c>
      <c r="L238" s="265">
        <v>93104</v>
      </c>
      <c r="M238" s="355">
        <f t="shared" ref="M238:M250" si="6">L238/$L$252</f>
        <v>0.89796784429462884</v>
      </c>
      <c r="N238" s="332"/>
      <c r="O238" s="356"/>
      <c r="P238" s="5"/>
    </row>
    <row r="239" spans="1:17" ht="15.6" x14ac:dyDescent="0.3">
      <c r="A239" s="262"/>
      <c r="B239" s="264" t="s">
        <v>86</v>
      </c>
      <c r="C239" s="354"/>
      <c r="D239" s="354"/>
      <c r="E239" s="354"/>
      <c r="F239" s="354"/>
      <c r="G239" s="354"/>
      <c r="H239" s="354"/>
      <c r="I239" s="354"/>
      <c r="J239" s="264">
        <v>68</v>
      </c>
      <c r="K239" s="355">
        <f t="shared" si="5"/>
        <v>2.6500389711613406E-2</v>
      </c>
      <c r="L239" s="265">
        <v>3061</v>
      </c>
      <c r="M239" s="355">
        <f t="shared" si="6"/>
        <v>2.9522679706412817E-2</v>
      </c>
      <c r="N239" s="332"/>
      <c r="O239" s="356"/>
      <c r="P239" s="5"/>
      <c r="Q239" s="104"/>
    </row>
    <row r="240" spans="1:17" ht="15.6" x14ac:dyDescent="0.3">
      <c r="A240" s="262"/>
      <c r="B240" s="264" t="s">
        <v>87</v>
      </c>
      <c r="C240" s="354"/>
      <c r="D240" s="354"/>
      <c r="E240" s="354"/>
      <c r="F240" s="354"/>
      <c r="G240" s="354"/>
      <c r="H240" s="354"/>
      <c r="I240" s="354"/>
      <c r="J240" s="264">
        <v>31</v>
      </c>
      <c r="K240" s="355">
        <f t="shared" si="5"/>
        <v>1.2081060015588464E-2</v>
      </c>
      <c r="L240" s="265">
        <v>1772</v>
      </c>
      <c r="M240" s="355">
        <f t="shared" si="6"/>
        <v>1.709055486434613E-2</v>
      </c>
      <c r="N240" s="332"/>
      <c r="O240" s="356"/>
      <c r="P240" s="5"/>
    </row>
    <row r="241" spans="1:17" ht="15.6" x14ac:dyDescent="0.3">
      <c r="A241" s="262"/>
      <c r="B241" s="264" t="s">
        <v>145</v>
      </c>
      <c r="C241" s="354"/>
      <c r="D241" s="354"/>
      <c r="E241" s="354"/>
      <c r="F241" s="354"/>
      <c r="G241" s="354"/>
      <c r="H241" s="354"/>
      <c r="I241" s="354"/>
      <c r="J241" s="264">
        <v>16</v>
      </c>
      <c r="K241" s="355">
        <f t="shared" si="5"/>
        <v>6.2353858144972721E-3</v>
      </c>
      <c r="L241" s="265">
        <v>909</v>
      </c>
      <c r="M241" s="355">
        <f t="shared" si="6"/>
        <v>8.7671074332339918E-3</v>
      </c>
      <c r="N241" s="332"/>
      <c r="O241" s="356"/>
      <c r="P241" s="5"/>
      <c r="Q241" s="104"/>
    </row>
    <row r="242" spans="1:17" ht="15.6" x14ac:dyDescent="0.3">
      <c r="A242" s="262"/>
      <c r="B242" s="264" t="s">
        <v>146</v>
      </c>
      <c r="C242" s="354"/>
      <c r="D242" s="354"/>
      <c r="E242" s="354"/>
      <c r="F242" s="354"/>
      <c r="G242" s="354"/>
      <c r="H242" s="354"/>
      <c r="I242" s="354"/>
      <c r="J242" s="264">
        <v>15</v>
      </c>
      <c r="K242" s="355">
        <f t="shared" si="5"/>
        <v>5.8456742010911927E-3</v>
      </c>
      <c r="L242" s="265">
        <v>1089</v>
      </c>
      <c r="M242" s="355">
        <f t="shared" si="6"/>
        <v>1.050316831110211E-2</v>
      </c>
      <c r="N242" s="332"/>
      <c r="O242" s="356"/>
      <c r="P242" s="5"/>
    </row>
    <row r="243" spans="1:17" ht="15.6" x14ac:dyDescent="0.3">
      <c r="A243" s="262"/>
      <c r="B243" s="264" t="s">
        <v>147</v>
      </c>
      <c r="C243" s="354"/>
      <c r="D243" s="354"/>
      <c r="E243" s="354"/>
      <c r="F243" s="354"/>
      <c r="G243" s="354"/>
      <c r="H243" s="354"/>
      <c r="I243" s="354"/>
      <c r="J243" s="264">
        <v>9</v>
      </c>
      <c r="K243" s="355">
        <f t="shared" si="5"/>
        <v>3.5074045206547155E-3</v>
      </c>
      <c r="L243" s="265">
        <v>467</v>
      </c>
      <c r="M243" s="355">
        <f t="shared" si="6"/>
        <v>4.5041134998022817E-3</v>
      </c>
      <c r="N243" s="332"/>
      <c r="O243" s="356"/>
      <c r="P243" s="5"/>
      <c r="Q243" s="104"/>
    </row>
    <row r="244" spans="1:17" ht="15.6" x14ac:dyDescent="0.3">
      <c r="A244" s="262"/>
      <c r="B244" s="264" t="s">
        <v>227</v>
      </c>
      <c r="C244" s="354"/>
      <c r="D244" s="354"/>
      <c r="E244" s="354"/>
      <c r="F244" s="354"/>
      <c r="G244" s="354"/>
      <c r="H244" s="354"/>
      <c r="I244" s="354"/>
      <c r="J244" s="264">
        <v>16</v>
      </c>
      <c r="K244" s="355">
        <f t="shared" si="5"/>
        <v>6.2353858144972721E-3</v>
      </c>
      <c r="L244" s="265">
        <v>870</v>
      </c>
      <c r="M244" s="355">
        <f t="shared" si="6"/>
        <v>8.3909609096958996E-3</v>
      </c>
      <c r="N244" s="332"/>
      <c r="O244" s="356"/>
      <c r="P244" s="5"/>
    </row>
    <row r="245" spans="1:17" ht="15.6" x14ac:dyDescent="0.3">
      <c r="A245" s="262"/>
      <c r="B245" s="264" t="s">
        <v>228</v>
      </c>
      <c r="C245" s="354"/>
      <c r="D245" s="354"/>
      <c r="E245" s="354"/>
      <c r="F245" s="354"/>
      <c r="G245" s="354"/>
      <c r="H245" s="354"/>
      <c r="I245" s="354"/>
      <c r="J245" s="264">
        <v>11</v>
      </c>
      <c r="K245" s="355">
        <f t="shared" si="5"/>
        <v>4.2868277474668749E-3</v>
      </c>
      <c r="L245" s="265">
        <v>596</v>
      </c>
      <c r="M245" s="355">
        <f t="shared" si="6"/>
        <v>5.7482904622744328E-3</v>
      </c>
      <c r="N245" s="332"/>
      <c r="O245" s="356"/>
      <c r="P245" s="5"/>
      <c r="Q245" s="104"/>
    </row>
    <row r="246" spans="1:17" ht="15.6" x14ac:dyDescent="0.3">
      <c r="A246" s="262"/>
      <c r="B246" s="264" t="s">
        <v>229</v>
      </c>
      <c r="C246" s="354"/>
      <c r="D246" s="354"/>
      <c r="E246" s="354"/>
      <c r="F246" s="354"/>
      <c r="G246" s="354"/>
      <c r="H246" s="354"/>
      <c r="I246" s="354"/>
      <c r="J246" s="264">
        <v>5</v>
      </c>
      <c r="K246" s="355">
        <f t="shared" si="5"/>
        <v>1.9485580670303975E-3</v>
      </c>
      <c r="L246" s="265">
        <v>360</v>
      </c>
      <c r="M246" s="355">
        <f t="shared" si="6"/>
        <v>3.4721217557362343E-3</v>
      </c>
      <c r="N246" s="332"/>
      <c r="O246" s="356"/>
      <c r="P246" s="5"/>
      <c r="Q246" s="104"/>
    </row>
    <row r="247" spans="1:17" ht="15.6" x14ac:dyDescent="0.3">
      <c r="A247" s="262"/>
      <c r="B247" s="264" t="s">
        <v>230</v>
      </c>
      <c r="C247" s="354"/>
      <c r="D247" s="354"/>
      <c r="E247" s="354"/>
      <c r="F247" s="354"/>
      <c r="G247" s="354"/>
      <c r="H247" s="354"/>
      <c r="I247" s="354"/>
      <c r="J247" s="264">
        <v>1</v>
      </c>
      <c r="K247" s="355">
        <f t="shared" si="5"/>
        <v>3.8971161340607951E-4</v>
      </c>
      <c r="L247" s="265">
        <v>36</v>
      </c>
      <c r="M247" s="355">
        <f t="shared" si="6"/>
        <v>3.4721217557362347E-4</v>
      </c>
      <c r="N247" s="332"/>
      <c r="O247" s="356"/>
      <c r="P247" s="5"/>
      <c r="Q247" s="104"/>
    </row>
    <row r="248" spans="1:17" ht="15.6" x14ac:dyDescent="0.3">
      <c r="A248" s="262"/>
      <c r="B248" s="264" t="s">
        <v>231</v>
      </c>
      <c r="C248" s="354"/>
      <c r="D248" s="354"/>
      <c r="E248" s="354"/>
      <c r="F248" s="354"/>
      <c r="G248" s="354"/>
      <c r="H248" s="354"/>
      <c r="I248" s="354"/>
      <c r="J248" s="264">
        <v>2</v>
      </c>
      <c r="K248" s="355">
        <f t="shared" si="5"/>
        <v>7.7942322681215901E-4</v>
      </c>
      <c r="L248" s="265">
        <v>1050</v>
      </c>
      <c r="M248" s="355">
        <f t="shared" si="6"/>
        <v>1.0127021787564017E-2</v>
      </c>
      <c r="N248" s="332"/>
      <c r="O248" s="356"/>
      <c r="P248" s="5"/>
      <c r="Q248" s="104"/>
    </row>
    <row r="249" spans="1:17" ht="15.6" x14ac:dyDescent="0.3">
      <c r="A249" s="262"/>
      <c r="B249" s="264" t="s">
        <v>232</v>
      </c>
      <c r="C249" s="354"/>
      <c r="D249" s="354"/>
      <c r="E249" s="354"/>
      <c r="F249" s="354"/>
      <c r="G249" s="354"/>
      <c r="H249" s="354"/>
      <c r="I249" s="354"/>
      <c r="J249" s="264">
        <v>2</v>
      </c>
      <c r="K249" s="355">
        <f t="shared" si="5"/>
        <v>7.7942322681215901E-4</v>
      </c>
      <c r="L249" s="265">
        <v>181</v>
      </c>
      <c r="M249" s="355">
        <f t="shared" si="6"/>
        <v>1.7457056605229401E-3</v>
      </c>
      <c r="N249" s="332"/>
      <c r="O249" s="356"/>
      <c r="P249" s="5"/>
      <c r="Q249" s="104"/>
    </row>
    <row r="250" spans="1:17" ht="15.6" x14ac:dyDescent="0.3">
      <c r="A250" s="262"/>
      <c r="B250" s="264" t="s">
        <v>233</v>
      </c>
      <c r="C250" s="354"/>
      <c r="D250" s="354"/>
      <c r="E250" s="354"/>
      <c r="F250" s="354"/>
      <c r="G250" s="354"/>
      <c r="H250" s="354"/>
      <c r="I250" s="354"/>
      <c r="J250" s="264">
        <v>2</v>
      </c>
      <c r="K250" s="355">
        <f t="shared" si="5"/>
        <v>7.7942322681215901E-4</v>
      </c>
      <c r="L250" s="265">
        <v>188</v>
      </c>
      <c r="M250" s="355">
        <f t="shared" si="6"/>
        <v>1.8132191391067001E-3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2566</v>
      </c>
      <c r="K252" s="355">
        <f>SUM(K238:K251)</f>
        <v>0.99999999999999989</v>
      </c>
      <c r="L252" s="265">
        <f>SUM(L238:L251)</f>
        <v>103683</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67" t="s">
        <v>204</v>
      </c>
      <c r="C254" s="369"/>
      <c r="D254" s="369"/>
      <c r="E254" s="369"/>
      <c r="F254" s="369"/>
      <c r="G254" s="369"/>
      <c r="H254" s="369"/>
      <c r="I254" s="369"/>
      <c r="J254" s="382" t="s">
        <v>99</v>
      </c>
      <c r="K254" s="369" t="s">
        <v>100</v>
      </c>
      <c r="L254" s="378" t="s">
        <v>108</v>
      </c>
      <c r="M254" s="36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67" t="s">
        <v>150</v>
      </c>
      <c r="C271" s="379"/>
      <c r="D271" s="381"/>
      <c r="E271" s="381"/>
      <c r="F271" s="381"/>
      <c r="G271" s="381"/>
      <c r="H271" s="381"/>
      <c r="I271" s="381"/>
      <c r="J271" s="382" t="s">
        <v>99</v>
      </c>
      <c r="K271" s="369" t="s">
        <v>100</v>
      </c>
      <c r="L271" s="378" t="s">
        <v>108</v>
      </c>
      <c r="M271" s="36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3</v>
      </c>
      <c r="K282" s="355">
        <f t="shared" si="7"/>
        <v>1</v>
      </c>
      <c r="L282" s="265">
        <v>69</v>
      </c>
      <c r="M282" s="355">
        <f t="shared" si="8"/>
        <v>1</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3</v>
      </c>
      <c r="K286" s="355">
        <f>SUM(K272:K284)</f>
        <v>1</v>
      </c>
      <c r="L286" s="265">
        <f>SUM(L272:L284)</f>
        <v>69</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7" t="s">
        <v>151</v>
      </c>
      <c r="C288" s="263"/>
      <c r="D288" s="357"/>
      <c r="E288" s="357"/>
      <c r="F288" s="357"/>
      <c r="G288" s="357"/>
      <c r="H288" s="357"/>
      <c r="I288" s="357"/>
      <c r="J288" s="358">
        <f>J286+J269+J252</f>
        <v>2569</v>
      </c>
      <c r="K288" s="355"/>
      <c r="L288" s="359">
        <f>+L286+L269+L252</f>
        <v>103752</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89</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239</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90</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FEBRUARY 2011</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honeticPr fontId="0" type="noConversion"/>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sheetPr>
  <dimension ref="A1:IV299"/>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5.4699999999999999E-2</v>
      </c>
      <c r="L16" s="232" t="s">
        <v>133</v>
      </c>
      <c r="M16" s="231">
        <v>0.94530000000000003</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40714</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152</v>
      </c>
      <c r="G25" s="386"/>
      <c r="H25" s="386" t="s">
        <v>135</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97526.354699999996</v>
      </c>
      <c r="E29" s="279"/>
      <c r="F29" s="279">
        <f>F28*F32</f>
        <v>3112.4776499999998</v>
      </c>
      <c r="G29" s="279"/>
      <c r="H29" s="279">
        <f>H28*H32</f>
        <v>3112.4776499999998</v>
      </c>
      <c r="I29" s="279"/>
      <c r="J29" s="284"/>
      <c r="K29" s="279"/>
      <c r="L29" s="279"/>
      <c r="M29" s="280"/>
      <c r="N29" s="279">
        <f>SUM(D29:H29)+1</f>
        <v>103752.31</v>
      </c>
      <c r="O29" s="281"/>
      <c r="P29" s="5"/>
    </row>
    <row r="30" spans="1:16" ht="15.6" x14ac:dyDescent="0.3">
      <c r="A30" s="274"/>
      <c r="B30" s="275" t="s">
        <v>130</v>
      </c>
      <c r="C30" s="278"/>
      <c r="D30" s="285">
        <f>D28*D31</f>
        <v>93606.92379999999</v>
      </c>
      <c r="E30" s="285"/>
      <c r="F30" s="285">
        <f>F28*F31</f>
        <v>2987.3893499999999</v>
      </c>
      <c r="G30" s="285"/>
      <c r="H30" s="285">
        <f>H28*H31</f>
        <v>2987.3893499999999</v>
      </c>
      <c r="I30" s="285"/>
      <c r="J30" s="288"/>
      <c r="K30" s="279"/>
      <c r="L30" s="279"/>
      <c r="M30" s="280"/>
      <c r="N30" s="285">
        <f>SUM(D30:I30)</f>
        <v>99581.702499999985</v>
      </c>
      <c r="O30" s="281"/>
      <c r="P30" s="5"/>
    </row>
    <row r="31" spans="1:16" ht="15.6" x14ac:dyDescent="0.3">
      <c r="A31" s="262"/>
      <c r="B31" s="290" t="s">
        <v>126</v>
      </c>
      <c r="C31" s="291"/>
      <c r="D31" s="292">
        <v>0.35933559999999998</v>
      </c>
      <c r="E31" s="292"/>
      <c r="F31" s="292">
        <v>0.73762700000000003</v>
      </c>
      <c r="G31" s="292"/>
      <c r="H31" s="292">
        <v>0.73762700000000003</v>
      </c>
      <c r="I31" s="293"/>
      <c r="J31" s="293"/>
      <c r="K31" s="294"/>
      <c r="L31" s="294"/>
      <c r="M31" s="269"/>
      <c r="N31" s="269"/>
      <c r="O31" s="270"/>
      <c r="P31" s="5"/>
    </row>
    <row r="32" spans="1:16" ht="15.6" x14ac:dyDescent="0.3">
      <c r="A32" s="262"/>
      <c r="B32" s="290" t="s">
        <v>127</v>
      </c>
      <c r="C32" s="291"/>
      <c r="D32" s="292">
        <v>0.37438139999999998</v>
      </c>
      <c r="E32" s="292"/>
      <c r="F32" s="292">
        <v>0.768513</v>
      </c>
      <c r="G32" s="292"/>
      <c r="H32" s="292">
        <v>0.768513</v>
      </c>
      <c r="I32" s="293"/>
      <c r="J32" s="293"/>
      <c r="K32" s="295"/>
      <c r="L32" s="296"/>
      <c r="M32" s="269"/>
      <c r="N32" s="295"/>
      <c r="O32" s="270"/>
      <c r="P32" s="5"/>
    </row>
    <row r="33" spans="1:17" ht="15.6" x14ac:dyDescent="0.3">
      <c r="A33" s="274"/>
      <c r="B33" s="263" t="s">
        <v>9</v>
      </c>
      <c r="C33" s="263"/>
      <c r="D33" s="276" t="s">
        <v>192</v>
      </c>
      <c r="E33" s="276"/>
      <c r="F33" s="276" t="s">
        <v>194</v>
      </c>
      <c r="G33" s="276"/>
      <c r="H33" s="276" t="s">
        <v>196</v>
      </c>
      <c r="I33" s="276"/>
      <c r="J33" s="276"/>
      <c r="K33" s="297"/>
      <c r="L33" s="298"/>
      <c r="M33" s="268"/>
      <c r="N33" s="268"/>
      <c r="O33" s="266"/>
      <c r="P33" s="5"/>
    </row>
    <row r="34" spans="1:17" ht="15.6" x14ac:dyDescent="0.3">
      <c r="A34" s="274"/>
      <c r="B34" s="263" t="s">
        <v>10</v>
      </c>
      <c r="C34" s="263"/>
      <c r="D34" s="298">
        <v>9.2563000000000003E-3</v>
      </c>
      <c r="E34" s="297"/>
      <c r="F34" s="298">
        <v>9.8563000000000001E-3</v>
      </c>
      <c r="G34" s="297"/>
      <c r="H34" s="298">
        <v>1.0856299999999999E-2</v>
      </c>
      <c r="I34" s="297"/>
      <c r="J34" s="298"/>
      <c r="K34" s="297"/>
      <c r="L34" s="298"/>
      <c r="M34" s="268"/>
      <c r="N34" s="297">
        <f>SUMPRODUCT(D34:H34,D29:H29)/N29</f>
        <v>9.32220884125857E-3</v>
      </c>
      <c r="O34" s="266"/>
      <c r="P34" s="5"/>
    </row>
    <row r="35" spans="1:17" ht="15.6" x14ac:dyDescent="0.3">
      <c r="A35" s="274"/>
      <c r="B35" s="263" t="s">
        <v>11</v>
      </c>
      <c r="C35" s="263"/>
      <c r="D35" s="298">
        <v>8.6937999999999998E-3</v>
      </c>
      <c r="E35" s="297"/>
      <c r="F35" s="298">
        <v>9.2937999999999996E-3</v>
      </c>
      <c r="G35" s="297"/>
      <c r="H35" s="298">
        <v>1.0293800000000001E-2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6.3828384241807548E-2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40709</v>
      </c>
      <c r="O45" s="266"/>
      <c r="P45" s="5"/>
    </row>
    <row r="46" spans="1:17" ht="15.6" x14ac:dyDescent="0.3">
      <c r="A46" s="274"/>
      <c r="B46" s="263" t="s">
        <v>119</v>
      </c>
      <c r="C46" s="263"/>
      <c r="D46" s="305"/>
      <c r="E46" s="305"/>
      <c r="F46" s="305"/>
      <c r="G46" s="305"/>
      <c r="H46" s="305"/>
      <c r="I46" s="305"/>
      <c r="J46" s="263">
        <f>+N46-L46+1</f>
        <v>90</v>
      </c>
      <c r="K46" s="305"/>
      <c r="L46" s="306">
        <v>40527</v>
      </c>
      <c r="M46" s="307"/>
      <c r="N46" s="306">
        <v>40616</v>
      </c>
      <c r="O46" s="266"/>
      <c r="P46" s="5"/>
    </row>
    <row r="47" spans="1:17" ht="15.6" x14ac:dyDescent="0.3">
      <c r="A47" s="274"/>
      <c r="B47" s="263" t="s">
        <v>120</v>
      </c>
      <c r="C47" s="263"/>
      <c r="D47" s="263"/>
      <c r="E47" s="263"/>
      <c r="F47" s="263"/>
      <c r="G47" s="263"/>
      <c r="H47" s="263"/>
      <c r="I47" s="263"/>
      <c r="J47" s="263">
        <f>+N47-L47+1</f>
        <v>92</v>
      </c>
      <c r="K47" s="263"/>
      <c r="L47" s="306">
        <v>40617</v>
      </c>
      <c r="M47" s="307"/>
      <c r="N47" s="306">
        <v>40708</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40695</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261</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103752</v>
      </c>
      <c r="G56" s="264"/>
      <c r="H56" s="264">
        <f>4170+659+930</f>
        <v>5759</v>
      </c>
      <c r="I56" s="264"/>
      <c r="J56" s="264">
        <f>659+930</f>
        <v>1589</v>
      </c>
      <c r="K56" s="264"/>
      <c r="L56" s="264">
        <v>0</v>
      </c>
      <c r="M56" s="264"/>
      <c r="N56" s="265">
        <f>+F56-H56+J56-L56</f>
        <v>99582</v>
      </c>
      <c r="O56" s="266"/>
      <c r="P56" s="5"/>
    </row>
    <row r="57" spans="1:16" ht="15.6" x14ac:dyDescent="0.3">
      <c r="A57" s="262"/>
      <c r="B57" s="263" t="s">
        <v>209</v>
      </c>
      <c r="C57" s="264"/>
      <c r="D57" s="264">
        <v>756</v>
      </c>
      <c r="E57" s="264"/>
      <c r="F57" s="265">
        <v>457</v>
      </c>
      <c r="G57" s="264"/>
      <c r="H57" s="264">
        <v>2</v>
      </c>
      <c r="I57" s="264"/>
      <c r="J57" s="264">
        <v>0</v>
      </c>
      <c r="K57" s="264"/>
      <c r="L57" s="264">
        <v>0</v>
      </c>
      <c r="M57" s="264"/>
      <c r="N57" s="265">
        <f>+F57-H57</f>
        <v>455</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104209</v>
      </c>
      <c r="G59" s="264"/>
      <c r="H59" s="264">
        <f>SUM(H56:H58)</f>
        <v>5761</v>
      </c>
      <c r="I59" s="264"/>
      <c r="J59" s="264">
        <f>SUM(J56:J58)</f>
        <v>1589</v>
      </c>
      <c r="K59" s="264"/>
      <c r="L59" s="264">
        <f>SUM(L56:L58)</f>
        <v>0</v>
      </c>
      <c r="M59" s="264"/>
      <c r="N59" s="264">
        <f>SUM(N56:N58)</f>
        <v>100037</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-457</v>
      </c>
      <c r="G68" s="264"/>
      <c r="H68" s="264"/>
      <c r="I68" s="264"/>
      <c r="J68" s="264"/>
      <c r="K68" s="264"/>
      <c r="L68" s="264"/>
      <c r="M68" s="264"/>
      <c r="N68" s="265">
        <f>-N57</f>
        <v>-455</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103752</v>
      </c>
      <c r="G72" s="264"/>
      <c r="H72" s="264"/>
      <c r="I72" s="264"/>
      <c r="J72" s="264"/>
      <c r="K72" s="264"/>
      <c r="L72" s="264"/>
      <c r="M72" s="264"/>
      <c r="N72" s="264">
        <f>SUM(N59:N71)</f>
        <v>99582</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40694</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5759-1</f>
        <v>5758</v>
      </c>
      <c r="M77" s="263"/>
      <c r="N77" s="265"/>
      <c r="O77" s="266"/>
      <c r="P77" s="5"/>
    </row>
    <row r="78" spans="1:16" ht="15.6" x14ac:dyDescent="0.3">
      <c r="A78" s="262"/>
      <c r="B78" s="263" t="s">
        <v>176</v>
      </c>
      <c r="C78" s="263"/>
      <c r="D78" s="300"/>
      <c r="E78" s="263"/>
      <c r="F78" s="309"/>
      <c r="G78" s="263"/>
      <c r="H78" s="263"/>
      <c r="I78" s="263"/>
      <c r="J78" s="263"/>
      <c r="K78" s="263"/>
      <c r="L78" s="264"/>
      <c r="M78" s="263"/>
      <c r="N78" s="265">
        <f>2894+109+1517-3090-45-803-2</f>
        <v>580</v>
      </c>
      <c r="O78" s="266"/>
      <c r="P78" s="5"/>
    </row>
    <row r="79" spans="1:16" ht="15.6" x14ac:dyDescent="0.3">
      <c r="A79" s="262"/>
      <c r="B79" s="263" t="s">
        <v>174</v>
      </c>
      <c r="C79" s="263"/>
      <c r="D79" s="300"/>
      <c r="E79" s="263"/>
      <c r="F79" s="309"/>
      <c r="G79" s="263"/>
      <c r="H79" s="263"/>
      <c r="I79" s="263"/>
      <c r="J79" s="263"/>
      <c r="K79" s="263"/>
      <c r="L79" s="264"/>
      <c r="M79" s="263"/>
      <c r="N79" s="265">
        <f>17+2+14</f>
        <v>33</v>
      </c>
      <c r="O79" s="266"/>
      <c r="P79" s="5"/>
    </row>
    <row r="80" spans="1:16" ht="15.6" x14ac:dyDescent="0.3">
      <c r="A80" s="262"/>
      <c r="B80" s="263" t="s">
        <v>175</v>
      </c>
      <c r="C80" s="263"/>
      <c r="D80" s="300"/>
      <c r="E80" s="263"/>
      <c r="F80" s="309"/>
      <c r="G80" s="263"/>
      <c r="H80" s="263"/>
      <c r="I80" s="263"/>
      <c r="J80" s="263"/>
      <c r="K80" s="263"/>
      <c r="L80" s="264"/>
      <c r="M80" s="263"/>
      <c r="N80" s="265">
        <v>4</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5758</v>
      </c>
      <c r="M83" s="263"/>
      <c r="N83" s="264">
        <f>SUM(N76:N82)</f>
        <v>617</v>
      </c>
      <c r="O83" s="266"/>
      <c r="P83" s="5"/>
    </row>
    <row r="84" spans="1:17" ht="15.6" x14ac:dyDescent="0.3">
      <c r="A84" s="262"/>
      <c r="B84" s="263" t="s">
        <v>148</v>
      </c>
      <c r="C84" s="263"/>
      <c r="D84" s="263"/>
      <c r="E84" s="263"/>
      <c r="F84" s="263"/>
      <c r="G84" s="263"/>
      <c r="H84" s="263"/>
      <c r="I84" s="263"/>
      <c r="J84" s="263"/>
      <c r="K84" s="263"/>
      <c r="L84" s="264">
        <v>-930</v>
      </c>
      <c r="M84" s="263"/>
      <c r="N84" s="264">
        <f>-L84</f>
        <v>930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4828</v>
      </c>
      <c r="M87" s="263"/>
      <c r="N87" s="264">
        <f>N83+N85+N84+N86</f>
        <v>1547</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-39-1-94</f>
        <v>-134</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-228</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-8</v>
      </c>
      <c r="O95" s="266"/>
      <c r="P95" s="5"/>
      <c r="Q95" s="104"/>
    </row>
    <row r="96" spans="1:17" ht="15.6" x14ac:dyDescent="0.3">
      <c r="A96" s="274" t="s">
        <v>170</v>
      </c>
      <c r="B96" s="263" t="s">
        <v>216</v>
      </c>
      <c r="C96" s="263"/>
      <c r="D96" s="263"/>
      <c r="E96" s="263"/>
      <c r="F96" s="263"/>
      <c r="G96" s="263"/>
      <c r="H96" s="263"/>
      <c r="I96" s="263"/>
      <c r="J96" s="263"/>
      <c r="K96" s="263"/>
      <c r="L96" s="263"/>
      <c r="M96" s="263"/>
      <c r="N96" s="265">
        <v>-9</v>
      </c>
      <c r="O96" s="266"/>
      <c r="P96" s="5"/>
      <c r="Q96" s="104"/>
    </row>
    <row r="97" spans="1:16" ht="15.6" x14ac:dyDescent="0.3">
      <c r="A97" s="274">
        <v>7</v>
      </c>
      <c r="B97" s="263" t="s">
        <v>33</v>
      </c>
      <c r="C97" s="263"/>
      <c r="D97" s="263"/>
      <c r="E97" s="263"/>
      <c r="F97" s="263"/>
      <c r="G97" s="263"/>
      <c r="H97" s="263"/>
      <c r="I97" s="263"/>
      <c r="J97" s="263"/>
      <c r="K97" s="263"/>
      <c r="L97" s="263"/>
      <c r="M97" s="263"/>
      <c r="N97" s="265">
        <v>-9</v>
      </c>
      <c r="O97" s="266"/>
      <c r="P97" s="5"/>
    </row>
    <row r="98" spans="1:16" ht="15.6" x14ac:dyDescent="0.3">
      <c r="A98" s="274">
        <f t="shared" ref="A98:A104" si="0">+A97+1</f>
        <v>8</v>
      </c>
      <c r="B98" s="263" t="s">
        <v>42</v>
      </c>
      <c r="C98" s="263"/>
      <c r="D98" s="263"/>
      <c r="E98" s="263"/>
      <c r="F98" s="263"/>
      <c r="G98" s="263"/>
      <c r="H98" s="263"/>
      <c r="I98" s="263"/>
      <c r="J98" s="263"/>
      <c r="K98" s="263"/>
      <c r="L98" s="264">
        <f>-N98</f>
        <v>1</v>
      </c>
      <c r="M98" s="263"/>
      <c r="N98" s="265">
        <v>-1</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-40</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-1115</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-659</v>
      </c>
      <c r="M107" s="264"/>
      <c r="N107" s="265"/>
      <c r="O107" s="266"/>
      <c r="P107" s="5"/>
    </row>
    <row r="108" spans="1:16" ht="15.6" x14ac:dyDescent="0.3">
      <c r="A108" s="274"/>
      <c r="B108" s="263" t="s">
        <v>200</v>
      </c>
      <c r="C108" s="263"/>
      <c r="D108" s="263"/>
      <c r="E108" s="263"/>
      <c r="F108" s="263"/>
      <c r="G108" s="263"/>
      <c r="H108" s="263"/>
      <c r="I108" s="263"/>
      <c r="J108" s="263"/>
      <c r="K108" s="263"/>
      <c r="L108" s="264">
        <v>-3920</v>
      </c>
      <c r="M108" s="264"/>
      <c r="N108" s="265"/>
      <c r="O108" s="266"/>
      <c r="P108" s="5"/>
    </row>
    <row r="109" spans="1:16" ht="15.6" x14ac:dyDescent="0.3">
      <c r="A109" s="274"/>
      <c r="B109" s="263" t="s">
        <v>201</v>
      </c>
      <c r="C109" s="263"/>
      <c r="D109" s="263"/>
      <c r="E109" s="263"/>
      <c r="F109" s="263"/>
      <c r="G109" s="263"/>
      <c r="H109" s="263"/>
      <c r="I109" s="263"/>
      <c r="J109" s="263"/>
      <c r="K109" s="263"/>
      <c r="L109" s="264">
        <v>-125</v>
      </c>
      <c r="M109" s="264"/>
      <c r="N109" s="265"/>
      <c r="O109" s="266"/>
      <c r="P109" s="5"/>
    </row>
    <row r="110" spans="1:16" ht="15.6" x14ac:dyDescent="0.3">
      <c r="A110" s="274"/>
      <c r="B110" s="263" t="s">
        <v>202</v>
      </c>
      <c r="C110" s="263"/>
      <c r="D110" s="263"/>
      <c r="E110" s="263"/>
      <c r="F110" s="263"/>
      <c r="G110" s="263"/>
      <c r="H110" s="263"/>
      <c r="I110" s="263"/>
      <c r="J110" s="263"/>
      <c r="K110" s="263"/>
      <c r="L110" s="264">
        <v>-125</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-4829</v>
      </c>
      <c r="M111" s="264"/>
      <c r="N111" s="264">
        <f>SUM(N88:N109)</f>
        <v>-1547</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MAY 2011</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v>
      </c>
      <c r="O144" s="266"/>
      <c r="P144" s="5"/>
    </row>
    <row r="145" spans="1:256" ht="15.6" x14ac:dyDescent="0.3">
      <c r="A145" s="262"/>
      <c r="B145" s="263" t="s">
        <v>51</v>
      </c>
      <c r="C145" s="263"/>
      <c r="D145" s="263"/>
      <c r="E145" s="263"/>
      <c r="F145" s="263"/>
      <c r="G145" s="263"/>
      <c r="H145" s="263"/>
      <c r="I145" s="263"/>
      <c r="J145" s="263"/>
      <c r="K145" s="263"/>
      <c r="L145" s="263"/>
      <c r="M145" s="263"/>
      <c r="N145" s="265">
        <f>+N143+N144</f>
        <v>1</v>
      </c>
      <c r="O145" s="266"/>
      <c r="P145" s="5"/>
    </row>
    <row r="146" spans="1:256" ht="15.6" x14ac:dyDescent="0.3">
      <c r="A146" s="262"/>
      <c r="B146" s="263" t="s">
        <v>264</v>
      </c>
      <c r="C146" s="263"/>
      <c r="D146" s="263"/>
      <c r="E146" s="263"/>
      <c r="F146" s="263"/>
      <c r="G146" s="263"/>
      <c r="H146" s="263"/>
      <c r="I146" s="263"/>
      <c r="J146" s="263"/>
      <c r="K146" s="263"/>
      <c r="L146" s="263"/>
      <c r="M146" s="263"/>
      <c r="N146" s="265">
        <f>N98</f>
        <v>-1</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99582</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99582</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+'Feb 11'!N161</f>
        <v>457</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2</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455</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+'Feb 11'!L168</f>
        <v>14195</v>
      </c>
      <c r="M166" s="263"/>
      <c r="N166" s="265">
        <f>K166+L166</f>
        <v>14195</v>
      </c>
      <c r="O166" s="266"/>
      <c r="P166" s="5"/>
    </row>
    <row r="167" spans="1:256" ht="15.6" x14ac:dyDescent="0.3">
      <c r="A167" s="262"/>
      <c r="B167" s="263" t="s">
        <v>58</v>
      </c>
      <c r="C167" s="263"/>
      <c r="D167" s="263"/>
      <c r="E167" s="263"/>
      <c r="F167" s="263"/>
      <c r="G167" s="263"/>
      <c r="H167" s="263"/>
      <c r="I167" s="263"/>
      <c r="J167" s="263"/>
      <c r="K167" s="264">
        <v>0</v>
      </c>
      <c r="L167" s="264">
        <f>-L107</f>
        <v>659</v>
      </c>
      <c r="M167" s="263"/>
      <c r="N167" s="265">
        <f>K167+L167</f>
        <v>659</v>
      </c>
      <c r="O167" s="266"/>
      <c r="P167" s="5"/>
    </row>
    <row r="168" spans="1:256" ht="15.6" x14ac:dyDescent="0.3">
      <c r="A168" s="262"/>
      <c r="B168" s="263" t="s">
        <v>59</v>
      </c>
      <c r="C168" s="263"/>
      <c r="D168" s="263"/>
      <c r="E168" s="263"/>
      <c r="F168" s="263"/>
      <c r="G168" s="263"/>
      <c r="H168" s="263"/>
      <c r="I168" s="263"/>
      <c r="J168" s="263"/>
      <c r="K168" s="265">
        <f>K166+K167</f>
        <v>0</v>
      </c>
      <c r="L168" s="265">
        <f>L167+L166</f>
        <v>14854</v>
      </c>
      <c r="M168" s="263"/>
      <c r="N168" s="265">
        <f>K168+L168</f>
        <v>14854</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6.1885964912280702</v>
      </c>
      <c r="O173" s="266" t="s">
        <v>115</v>
      </c>
      <c r="P173" s="5"/>
    </row>
    <row r="174" spans="1:256" ht="15.6" x14ac:dyDescent="0.3">
      <c r="A174" s="262"/>
      <c r="B174" s="263" t="s">
        <v>63</v>
      </c>
      <c r="C174" s="263"/>
      <c r="D174" s="263"/>
      <c r="E174" s="263"/>
      <c r="F174" s="263"/>
      <c r="G174" s="263"/>
      <c r="H174" s="263"/>
      <c r="I174" s="263"/>
      <c r="J174" s="263"/>
      <c r="K174" s="263"/>
      <c r="L174" s="263"/>
      <c r="M174" s="263"/>
      <c r="N174" s="315">
        <v>1.85</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147.875</v>
      </c>
      <c r="O175" s="266" t="s">
        <v>115</v>
      </c>
      <c r="P175" s="5"/>
    </row>
    <row r="176" spans="1:256" ht="15.6" x14ac:dyDescent="0.3">
      <c r="A176" s="262"/>
      <c r="B176" s="263" t="s">
        <v>65</v>
      </c>
      <c r="C176" s="263"/>
      <c r="D176" s="263"/>
      <c r="E176" s="263"/>
      <c r="F176" s="263"/>
      <c r="G176" s="263"/>
      <c r="H176" s="263"/>
      <c r="I176" s="263"/>
      <c r="J176" s="263"/>
      <c r="K176" s="263"/>
      <c r="L176" s="263"/>
      <c r="M176" s="263"/>
      <c r="N176" s="315">
        <v>38.93</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130.55555555555554</v>
      </c>
      <c r="O177" s="266" t="s">
        <v>115</v>
      </c>
      <c r="P177" s="5"/>
    </row>
    <row r="178" spans="1:16" ht="15.6" x14ac:dyDescent="0.3">
      <c r="A178" s="262"/>
      <c r="B178" s="263" t="s">
        <v>167</v>
      </c>
      <c r="C178" s="263"/>
      <c r="D178" s="263"/>
      <c r="E178" s="263"/>
      <c r="F178" s="263"/>
      <c r="G178" s="263"/>
      <c r="H178" s="263"/>
      <c r="I178" s="263"/>
      <c r="J178" s="263"/>
      <c r="K178" s="263"/>
      <c r="L178" s="263"/>
      <c r="M178" s="263"/>
      <c r="N178" s="315">
        <v>36.82</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MAY 2011</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40694</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5.355E-2</v>
      </c>
      <c r="M188" s="263"/>
      <c r="N188" s="263"/>
      <c r="O188" s="266"/>
      <c r="P188" s="5"/>
    </row>
    <row r="189" spans="1:16" ht="15.6" x14ac:dyDescent="0.3">
      <c r="A189" s="321"/>
      <c r="B189" s="263" t="s">
        <v>212</v>
      </c>
      <c r="C189" s="322"/>
      <c r="D189" s="303"/>
      <c r="E189" s="303"/>
      <c r="F189" s="303"/>
      <c r="G189" s="303"/>
      <c r="H189" s="303"/>
      <c r="I189" s="303"/>
      <c r="J189" s="303"/>
      <c r="K189" s="303"/>
      <c r="L189" s="297">
        <f>N34</f>
        <v>9.32220884125857E-3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4.4227791158741432E-2</v>
      </c>
      <c r="M190" s="263"/>
      <c r="N190" s="263"/>
      <c r="O190" s="266"/>
      <c r="P190" s="5"/>
    </row>
    <row r="191" spans="1:16" ht="15.6" x14ac:dyDescent="0.3">
      <c r="A191" s="321"/>
      <c r="B191" s="263" t="s">
        <v>203</v>
      </c>
      <c r="C191" s="322"/>
      <c r="D191" s="303"/>
      <c r="E191" s="303"/>
      <c r="F191" s="303"/>
      <c r="G191" s="303"/>
      <c r="H191" s="303"/>
      <c r="I191" s="303"/>
      <c r="J191" s="303"/>
      <c r="K191" s="303"/>
      <c r="L191" s="297">
        <f>+N87/F59</f>
        <v>1.4845166924162021E-2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5.62</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5.5507363713470585E-2</v>
      </c>
      <c r="M197" s="263"/>
      <c r="N197" s="263"/>
      <c r="O197" s="266"/>
      <c r="P197" s="5"/>
    </row>
    <row r="198" spans="1:16" ht="15.6" x14ac:dyDescent="0.3">
      <c r="A198" s="321"/>
      <c r="B198" s="263" t="s">
        <v>74</v>
      </c>
      <c r="C198" s="322"/>
      <c r="D198" s="303"/>
      <c r="E198" s="303"/>
      <c r="F198" s="303"/>
      <c r="G198" s="303"/>
      <c r="H198" s="303"/>
      <c r="I198" s="303"/>
      <c r="J198" s="303"/>
      <c r="K198" s="303"/>
      <c r="L198" s="297">
        <v>0.26200000000000001</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10</v>
      </c>
      <c r="L201" s="331">
        <v>1870</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v>4</v>
      </c>
      <c r="L203" s="331">
        <v>81</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v>
      </c>
      <c r="M207" s="291"/>
      <c r="N207" s="337"/>
      <c r="O207" s="342"/>
      <c r="P207" s="5"/>
    </row>
    <row r="208" spans="1:16" ht="15.6" x14ac:dyDescent="0.3">
      <c r="A208" s="330"/>
      <c r="B208" s="263" t="s">
        <v>82</v>
      </c>
      <c r="C208" s="264"/>
      <c r="D208" s="263"/>
      <c r="E208" s="263"/>
      <c r="F208" s="263"/>
      <c r="G208" s="263"/>
      <c r="H208" s="263"/>
      <c r="I208" s="263"/>
      <c r="J208" s="263"/>
      <c r="K208" s="276"/>
      <c r="L208" s="331">
        <f>'Feb 11'!L208+L207</f>
        <v>37</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1</v>
      </c>
      <c r="L210" s="331">
        <v>23</v>
      </c>
      <c r="M210" s="291"/>
      <c r="N210" s="337"/>
      <c r="O210" s="342"/>
      <c r="P210" s="5"/>
    </row>
    <row r="211" spans="1:17" ht="15.6" x14ac:dyDescent="0.3">
      <c r="A211" s="347"/>
      <c r="B211" s="263" t="s">
        <v>83</v>
      </c>
      <c r="C211" s="300"/>
      <c r="D211" s="263"/>
      <c r="E211" s="263"/>
      <c r="F211" s="263"/>
      <c r="G211" s="263"/>
      <c r="H211" s="263"/>
      <c r="I211" s="263"/>
      <c r="J211" s="263"/>
      <c r="K211" s="263"/>
      <c r="L211" s="339">
        <v>20.239999999999998</v>
      </c>
      <c r="M211" s="291"/>
      <c r="N211" s="337"/>
      <c r="O211" s="342"/>
      <c r="P211" s="5"/>
    </row>
    <row r="212" spans="1:17" ht="15.6" x14ac:dyDescent="0.3">
      <c r="A212" s="347"/>
      <c r="B212" s="263" t="s">
        <v>84</v>
      </c>
      <c r="C212" s="300"/>
      <c r="D212" s="263"/>
      <c r="E212" s="263"/>
      <c r="F212" s="263"/>
      <c r="G212" s="263"/>
      <c r="H212" s="263"/>
      <c r="I212" s="263"/>
      <c r="J212" s="263"/>
      <c r="K212" s="263"/>
      <c r="L212" s="339">
        <v>4.2699999999999996</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2313</v>
      </c>
      <c r="K221" s="355">
        <f t="shared" ref="K221:K233" si="2">J221/$J$235</f>
        <v>0.92966237942122187</v>
      </c>
      <c r="L221" s="265">
        <f t="shared" ref="L221:L233" si="3">+L238+L255+L272</f>
        <v>89524</v>
      </c>
      <c r="M221" s="355">
        <f t="shared" ref="M221:M233" si="4">L221/$L$235</f>
        <v>0.89899781084935027</v>
      </c>
      <c r="N221" s="332"/>
      <c r="O221" s="356"/>
      <c r="P221" s="5"/>
    </row>
    <row r="222" spans="1:17" ht="15.6" x14ac:dyDescent="0.3">
      <c r="A222" s="262"/>
      <c r="B222" s="264" t="s">
        <v>86</v>
      </c>
      <c r="C222" s="354"/>
      <c r="D222" s="354"/>
      <c r="E222" s="354"/>
      <c r="F222" s="354"/>
      <c r="G222" s="354"/>
      <c r="H222" s="354"/>
      <c r="I222" s="354"/>
      <c r="J222" s="264">
        <f t="shared" si="1"/>
        <v>50</v>
      </c>
      <c r="K222" s="355">
        <f t="shared" si="2"/>
        <v>2.0096463022508039E-2</v>
      </c>
      <c r="L222" s="265">
        <f t="shared" si="3"/>
        <v>2485</v>
      </c>
      <c r="M222" s="355">
        <f t="shared" si="4"/>
        <v>2.4954309011668774E-2</v>
      </c>
      <c r="N222" s="332"/>
      <c r="O222" s="356"/>
      <c r="P222" s="5"/>
      <c r="Q222" s="104"/>
    </row>
    <row r="223" spans="1:17" ht="15.6" x14ac:dyDescent="0.3">
      <c r="A223" s="262"/>
      <c r="B223" s="264" t="s">
        <v>87</v>
      </c>
      <c r="C223" s="354"/>
      <c r="D223" s="354"/>
      <c r="E223" s="354"/>
      <c r="F223" s="354"/>
      <c r="G223" s="354"/>
      <c r="H223" s="354"/>
      <c r="I223" s="354"/>
      <c r="J223" s="264">
        <f t="shared" si="1"/>
        <v>37</v>
      </c>
      <c r="K223" s="355">
        <f t="shared" si="2"/>
        <v>1.4871382636655949E-2</v>
      </c>
      <c r="L223" s="265">
        <f t="shared" si="3"/>
        <v>1885</v>
      </c>
      <c r="M223" s="355">
        <f t="shared" si="4"/>
        <v>1.8929123737221585E-2</v>
      </c>
      <c r="N223" s="332"/>
      <c r="O223" s="356"/>
      <c r="P223" s="5"/>
    </row>
    <row r="224" spans="1:17" ht="15.6" x14ac:dyDescent="0.3">
      <c r="A224" s="262"/>
      <c r="B224" s="264" t="s">
        <v>145</v>
      </c>
      <c r="C224" s="354"/>
      <c r="D224" s="354"/>
      <c r="E224" s="354"/>
      <c r="F224" s="354"/>
      <c r="G224" s="354"/>
      <c r="H224" s="354"/>
      <c r="I224" s="354"/>
      <c r="J224" s="264">
        <f t="shared" si="1"/>
        <v>21</v>
      </c>
      <c r="K224" s="355">
        <f t="shared" si="2"/>
        <v>8.4405144694533769E-3</v>
      </c>
      <c r="L224" s="265">
        <f t="shared" si="3"/>
        <v>1052</v>
      </c>
      <c r="M224" s="355">
        <f t="shared" si="4"/>
        <v>1.0564158181197405E-2</v>
      </c>
      <c r="N224" s="332"/>
      <c r="O224" s="356"/>
      <c r="P224" s="5"/>
      <c r="Q224" s="104"/>
    </row>
    <row r="225" spans="1:17" ht="15.6" x14ac:dyDescent="0.3">
      <c r="A225" s="262"/>
      <c r="B225" s="264" t="s">
        <v>146</v>
      </c>
      <c r="C225" s="354"/>
      <c r="D225" s="354"/>
      <c r="E225" s="354"/>
      <c r="F225" s="354"/>
      <c r="G225" s="354"/>
      <c r="H225" s="354"/>
      <c r="I225" s="354"/>
      <c r="J225" s="264">
        <f t="shared" si="1"/>
        <v>12</v>
      </c>
      <c r="K225" s="355">
        <f t="shared" si="2"/>
        <v>4.8231511254019296E-3</v>
      </c>
      <c r="L225" s="265">
        <f t="shared" si="3"/>
        <v>719</v>
      </c>
      <c r="M225" s="355">
        <f t="shared" si="4"/>
        <v>7.2201803538792155E-3</v>
      </c>
      <c r="N225" s="332"/>
      <c r="O225" s="356"/>
      <c r="P225" s="5"/>
    </row>
    <row r="226" spans="1:17" ht="15.6" x14ac:dyDescent="0.3">
      <c r="A226" s="262"/>
      <c r="B226" s="264" t="s">
        <v>147</v>
      </c>
      <c r="C226" s="354"/>
      <c r="D226" s="354"/>
      <c r="E226" s="354"/>
      <c r="F226" s="354"/>
      <c r="G226" s="354"/>
      <c r="H226" s="354"/>
      <c r="I226" s="354"/>
      <c r="J226" s="264">
        <f t="shared" si="1"/>
        <v>16</v>
      </c>
      <c r="K226" s="355">
        <f t="shared" si="2"/>
        <v>6.4308681672025723E-3</v>
      </c>
      <c r="L226" s="265">
        <f t="shared" si="3"/>
        <v>999</v>
      </c>
      <c r="M226" s="355">
        <f t="shared" si="4"/>
        <v>1.003193348195457E-2</v>
      </c>
      <c r="N226" s="332"/>
      <c r="O226" s="356"/>
      <c r="P226" s="5"/>
      <c r="Q226" s="104"/>
    </row>
    <row r="227" spans="1:17" ht="15.6" x14ac:dyDescent="0.3">
      <c r="A227" s="262"/>
      <c r="B227" s="264" t="s">
        <v>227</v>
      </c>
      <c r="C227" s="354"/>
      <c r="D227" s="354"/>
      <c r="E227" s="354"/>
      <c r="F227" s="354"/>
      <c r="G227" s="354"/>
      <c r="H227" s="354"/>
      <c r="I227" s="354"/>
      <c r="J227" s="264">
        <f t="shared" si="1"/>
        <v>17</v>
      </c>
      <c r="K227" s="355">
        <f t="shared" si="2"/>
        <v>6.8327974276527334E-3</v>
      </c>
      <c r="L227" s="265">
        <f t="shared" si="3"/>
        <v>684</v>
      </c>
      <c r="M227" s="355">
        <f t="shared" si="4"/>
        <v>6.868711212869796E-3</v>
      </c>
      <c r="N227" s="332"/>
      <c r="O227" s="356"/>
      <c r="P227" s="5"/>
    </row>
    <row r="228" spans="1:17" ht="15.6" x14ac:dyDescent="0.3">
      <c r="A228" s="262"/>
      <c r="B228" s="264" t="s">
        <v>228</v>
      </c>
      <c r="C228" s="354"/>
      <c r="D228" s="354"/>
      <c r="E228" s="354"/>
      <c r="F228" s="354"/>
      <c r="G228" s="354"/>
      <c r="H228" s="354"/>
      <c r="I228" s="354"/>
      <c r="J228" s="264">
        <f t="shared" si="1"/>
        <v>6</v>
      </c>
      <c r="K228" s="355">
        <f t="shared" si="2"/>
        <v>2.4115755627009648E-3</v>
      </c>
      <c r="L228" s="265">
        <f t="shared" si="3"/>
        <v>313</v>
      </c>
      <c r="M228" s="355">
        <f t="shared" si="4"/>
        <v>3.1431383181699502E-3</v>
      </c>
      <c r="N228" s="332"/>
      <c r="O228" s="356"/>
      <c r="P228" s="5"/>
      <c r="Q228" s="104"/>
    </row>
    <row r="229" spans="1:17" ht="15.6" x14ac:dyDescent="0.3">
      <c r="A229" s="262"/>
      <c r="B229" s="264" t="s">
        <v>229</v>
      </c>
      <c r="C229" s="354"/>
      <c r="D229" s="354"/>
      <c r="E229" s="354"/>
      <c r="F229" s="354"/>
      <c r="G229" s="354"/>
      <c r="H229" s="354"/>
      <c r="I229" s="354"/>
      <c r="J229" s="264">
        <f t="shared" si="1"/>
        <v>5</v>
      </c>
      <c r="K229" s="355">
        <f t="shared" si="2"/>
        <v>2.0096463022508037E-3</v>
      </c>
      <c r="L229" s="265">
        <f t="shared" si="3"/>
        <v>367</v>
      </c>
      <c r="M229" s="355">
        <f t="shared" si="4"/>
        <v>3.6854049928701973E-3</v>
      </c>
      <c r="N229" s="332"/>
      <c r="O229" s="356"/>
      <c r="P229" s="5"/>
      <c r="Q229" s="104"/>
    </row>
    <row r="230" spans="1:17" ht="15.6" x14ac:dyDescent="0.3">
      <c r="A230" s="262"/>
      <c r="B230" s="264" t="s">
        <v>230</v>
      </c>
      <c r="C230" s="354"/>
      <c r="D230" s="354"/>
      <c r="E230" s="354"/>
      <c r="F230" s="354"/>
      <c r="G230" s="354"/>
      <c r="H230" s="354"/>
      <c r="I230" s="354"/>
      <c r="J230" s="264">
        <f t="shared" si="1"/>
        <v>1</v>
      </c>
      <c r="K230" s="355">
        <f t="shared" si="2"/>
        <v>4.0192926045016077E-4</v>
      </c>
      <c r="L230" s="265">
        <f t="shared" si="3"/>
        <v>52</v>
      </c>
      <c r="M230" s="355">
        <f t="shared" si="4"/>
        <v>5.2218272378542303E-4</v>
      </c>
      <c r="N230" s="332"/>
      <c r="O230" s="356"/>
      <c r="P230" s="5"/>
      <c r="Q230" s="104"/>
    </row>
    <row r="231" spans="1:17" ht="15.6" x14ac:dyDescent="0.3">
      <c r="A231" s="262"/>
      <c r="B231" s="264" t="s">
        <v>231</v>
      </c>
      <c r="C231" s="354"/>
      <c r="D231" s="354"/>
      <c r="E231" s="354"/>
      <c r="F231" s="354"/>
      <c r="G231" s="354"/>
      <c r="H231" s="354"/>
      <c r="I231" s="354"/>
      <c r="J231" s="264">
        <f t="shared" si="1"/>
        <v>5</v>
      </c>
      <c r="K231" s="355">
        <f t="shared" si="2"/>
        <v>2.0096463022508037E-3</v>
      </c>
      <c r="L231" s="265">
        <f t="shared" si="3"/>
        <v>1110</v>
      </c>
      <c r="M231" s="355">
        <f t="shared" si="4"/>
        <v>1.11465927577273E-2</v>
      </c>
      <c r="N231" s="332"/>
      <c r="O231" s="356"/>
      <c r="P231" s="5"/>
      <c r="Q231" s="104"/>
    </row>
    <row r="232" spans="1:17" ht="15.6" x14ac:dyDescent="0.3">
      <c r="A232" s="262"/>
      <c r="B232" s="264" t="s">
        <v>232</v>
      </c>
      <c r="C232" s="354"/>
      <c r="D232" s="354"/>
      <c r="E232" s="354"/>
      <c r="F232" s="354"/>
      <c r="G232" s="354"/>
      <c r="H232" s="354"/>
      <c r="I232" s="354"/>
      <c r="J232" s="264">
        <f t="shared" si="1"/>
        <v>3</v>
      </c>
      <c r="K232" s="355">
        <f t="shared" si="2"/>
        <v>1.2057877813504824E-3</v>
      </c>
      <c r="L232" s="265">
        <f t="shared" si="3"/>
        <v>204</v>
      </c>
      <c r="M232" s="355">
        <f t="shared" si="4"/>
        <v>2.0485629933120445E-3</v>
      </c>
      <c r="N232" s="332"/>
      <c r="O232" s="356"/>
      <c r="P232" s="5"/>
      <c r="Q232" s="104"/>
    </row>
    <row r="233" spans="1:17" ht="15.6" x14ac:dyDescent="0.3">
      <c r="A233" s="262"/>
      <c r="B233" s="264" t="s">
        <v>233</v>
      </c>
      <c r="C233" s="354"/>
      <c r="D233" s="354"/>
      <c r="E233" s="354"/>
      <c r="F233" s="354"/>
      <c r="G233" s="354"/>
      <c r="H233" s="354"/>
      <c r="I233" s="354"/>
      <c r="J233" s="264">
        <f t="shared" si="1"/>
        <v>2</v>
      </c>
      <c r="K233" s="355">
        <f t="shared" si="2"/>
        <v>8.0385852090032153E-4</v>
      </c>
      <c r="L233" s="265">
        <f t="shared" si="3"/>
        <v>188</v>
      </c>
      <c r="M233" s="355">
        <f t="shared" si="4"/>
        <v>1.8878913859934525E-3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2488</v>
      </c>
      <c r="K235" s="355">
        <f>SUM(K221:K234)</f>
        <v>1</v>
      </c>
      <c r="L235" s="265">
        <f>SUM(L221:L234)</f>
        <v>99582</v>
      </c>
      <c r="M235" s="355">
        <f>SUM(M221:M234)</f>
        <v>0.99999999999999978</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2313</v>
      </c>
      <c r="K238" s="355">
        <f t="shared" ref="K238:K250" si="5">J238/$J$252</f>
        <v>0.9311594202898551</v>
      </c>
      <c r="L238" s="265">
        <v>89524</v>
      </c>
      <c r="M238" s="355">
        <f t="shared" ref="M238:M250" si="6">L238/$L$252</f>
        <v>0.89972965095828183</v>
      </c>
      <c r="N238" s="332"/>
      <c r="O238" s="356"/>
      <c r="P238" s="5"/>
    </row>
    <row r="239" spans="1:17" ht="15.6" x14ac:dyDescent="0.3">
      <c r="A239" s="262"/>
      <c r="B239" s="264" t="s">
        <v>86</v>
      </c>
      <c r="C239" s="354"/>
      <c r="D239" s="354"/>
      <c r="E239" s="354"/>
      <c r="F239" s="354"/>
      <c r="G239" s="354"/>
      <c r="H239" s="354"/>
      <c r="I239" s="354"/>
      <c r="J239" s="264">
        <v>50</v>
      </c>
      <c r="K239" s="355">
        <f t="shared" si="5"/>
        <v>2.0128824476650563E-2</v>
      </c>
      <c r="L239" s="265">
        <v>2485</v>
      </c>
      <c r="M239" s="355">
        <f t="shared" si="6"/>
        <v>2.4974623370619391E-2</v>
      </c>
      <c r="N239" s="332"/>
      <c r="O239" s="356"/>
      <c r="P239" s="5"/>
      <c r="Q239" s="104"/>
    </row>
    <row r="240" spans="1:17" ht="15.6" x14ac:dyDescent="0.3">
      <c r="A240" s="262"/>
      <c r="B240" s="264" t="s">
        <v>87</v>
      </c>
      <c r="C240" s="354"/>
      <c r="D240" s="354"/>
      <c r="E240" s="354"/>
      <c r="F240" s="354"/>
      <c r="G240" s="354"/>
      <c r="H240" s="354"/>
      <c r="I240" s="354"/>
      <c r="J240" s="264">
        <v>37</v>
      </c>
      <c r="K240" s="355">
        <f t="shared" si="5"/>
        <v>1.4895330112721417E-2</v>
      </c>
      <c r="L240" s="265">
        <v>1885</v>
      </c>
      <c r="M240" s="355">
        <f t="shared" si="6"/>
        <v>1.894453322077165E-2</v>
      </c>
      <c r="N240" s="332"/>
      <c r="O240" s="356"/>
      <c r="P240" s="5"/>
    </row>
    <row r="241" spans="1:17" ht="15.6" x14ac:dyDescent="0.3">
      <c r="A241" s="262"/>
      <c r="B241" s="264" t="s">
        <v>145</v>
      </c>
      <c r="C241" s="354"/>
      <c r="D241" s="354"/>
      <c r="E241" s="354"/>
      <c r="F241" s="354"/>
      <c r="G241" s="354"/>
      <c r="H241" s="354"/>
      <c r="I241" s="354"/>
      <c r="J241" s="264">
        <v>21</v>
      </c>
      <c r="K241" s="355">
        <f t="shared" si="5"/>
        <v>8.4541062801932361E-3</v>
      </c>
      <c r="L241" s="265">
        <v>1052</v>
      </c>
      <c r="M241" s="355">
        <f t="shared" si="6"/>
        <v>1.0572758062733037E-2</v>
      </c>
      <c r="N241" s="332"/>
      <c r="O241" s="356"/>
      <c r="P241" s="5"/>
      <c r="Q241" s="104"/>
    </row>
    <row r="242" spans="1:17" ht="15.6" x14ac:dyDescent="0.3">
      <c r="A242" s="262"/>
      <c r="B242" s="264" t="s">
        <v>146</v>
      </c>
      <c r="C242" s="354"/>
      <c r="D242" s="354"/>
      <c r="E242" s="354"/>
      <c r="F242" s="354"/>
      <c r="G242" s="354"/>
      <c r="H242" s="354"/>
      <c r="I242" s="354"/>
      <c r="J242" s="264">
        <v>12</v>
      </c>
      <c r="K242" s="355">
        <f t="shared" si="5"/>
        <v>4.830917874396135E-3</v>
      </c>
      <c r="L242" s="265">
        <v>719</v>
      </c>
      <c r="M242" s="355">
        <f t="shared" si="6"/>
        <v>7.2260580295675416E-3</v>
      </c>
      <c r="N242" s="332"/>
      <c r="O242" s="356"/>
      <c r="P242" s="5"/>
    </row>
    <row r="243" spans="1:17" ht="15.6" x14ac:dyDescent="0.3">
      <c r="A243" s="262"/>
      <c r="B243" s="264" t="s">
        <v>147</v>
      </c>
      <c r="C243" s="354"/>
      <c r="D243" s="354"/>
      <c r="E243" s="354"/>
      <c r="F243" s="354"/>
      <c r="G243" s="354"/>
      <c r="H243" s="354"/>
      <c r="I243" s="354"/>
      <c r="J243" s="264">
        <v>15</v>
      </c>
      <c r="K243" s="355">
        <f t="shared" si="5"/>
        <v>6.038647342995169E-3</v>
      </c>
      <c r="L243" s="265">
        <v>979</v>
      </c>
      <c r="M243" s="355">
        <f t="shared" si="6"/>
        <v>9.8390970945015626E-3</v>
      </c>
      <c r="N243" s="332"/>
      <c r="O243" s="356"/>
      <c r="P243" s="5"/>
      <c r="Q243" s="104"/>
    </row>
    <row r="244" spans="1:17" ht="15.6" x14ac:dyDescent="0.3">
      <c r="A244" s="262"/>
      <c r="B244" s="264" t="s">
        <v>227</v>
      </c>
      <c r="C244" s="354"/>
      <c r="D244" s="354"/>
      <c r="E244" s="354"/>
      <c r="F244" s="354"/>
      <c r="G244" s="354"/>
      <c r="H244" s="354"/>
      <c r="I244" s="354"/>
      <c r="J244" s="264">
        <v>16</v>
      </c>
      <c r="K244" s="355">
        <f t="shared" si="5"/>
        <v>6.4412238325281803E-3</v>
      </c>
      <c r="L244" s="265">
        <v>669</v>
      </c>
      <c r="M244" s="355">
        <f t="shared" si="6"/>
        <v>6.7235505170802302E-3</v>
      </c>
      <c r="N244" s="332"/>
      <c r="O244" s="356"/>
      <c r="P244" s="5"/>
    </row>
    <row r="245" spans="1:17" ht="15.6" x14ac:dyDescent="0.3">
      <c r="A245" s="262"/>
      <c r="B245" s="264" t="s">
        <v>228</v>
      </c>
      <c r="C245" s="354"/>
      <c r="D245" s="354"/>
      <c r="E245" s="354"/>
      <c r="F245" s="354"/>
      <c r="G245" s="354"/>
      <c r="H245" s="354"/>
      <c r="I245" s="354"/>
      <c r="J245" s="264">
        <v>6</v>
      </c>
      <c r="K245" s="355">
        <f t="shared" si="5"/>
        <v>2.4154589371980675E-3</v>
      </c>
      <c r="L245" s="265">
        <v>313</v>
      </c>
      <c r="M245" s="355">
        <f t="shared" si="6"/>
        <v>3.1456970281705712E-3</v>
      </c>
      <c r="N245" s="332"/>
      <c r="O245" s="356"/>
      <c r="P245" s="5"/>
      <c r="Q245" s="104"/>
    </row>
    <row r="246" spans="1:17" ht="15.6" x14ac:dyDescent="0.3">
      <c r="A246" s="262"/>
      <c r="B246" s="264" t="s">
        <v>229</v>
      </c>
      <c r="C246" s="354"/>
      <c r="D246" s="354"/>
      <c r="E246" s="354"/>
      <c r="F246" s="354"/>
      <c r="G246" s="354"/>
      <c r="H246" s="354"/>
      <c r="I246" s="354"/>
      <c r="J246" s="264">
        <v>5</v>
      </c>
      <c r="K246" s="355">
        <f t="shared" si="5"/>
        <v>2.0128824476650562E-3</v>
      </c>
      <c r="L246" s="265">
        <v>367</v>
      </c>
      <c r="M246" s="355">
        <f t="shared" si="6"/>
        <v>3.6884051416568677E-3</v>
      </c>
      <c r="N246" s="332"/>
      <c r="O246" s="356"/>
      <c r="P246" s="5"/>
      <c r="Q246" s="104"/>
    </row>
    <row r="247" spans="1:17" ht="15.6" x14ac:dyDescent="0.3">
      <c r="A247" s="262"/>
      <c r="B247" s="264" t="s">
        <v>230</v>
      </c>
      <c r="C247" s="354"/>
      <c r="D247" s="354"/>
      <c r="E247" s="354"/>
      <c r="F247" s="354"/>
      <c r="G247" s="354"/>
      <c r="H247" s="354"/>
      <c r="I247" s="354"/>
      <c r="J247" s="264">
        <v>1</v>
      </c>
      <c r="K247" s="355">
        <f t="shared" si="5"/>
        <v>4.0257648953301127E-4</v>
      </c>
      <c r="L247" s="265">
        <v>52</v>
      </c>
      <c r="M247" s="355">
        <f t="shared" si="6"/>
        <v>5.226078129868042E-4</v>
      </c>
      <c r="N247" s="332"/>
      <c r="O247" s="356"/>
      <c r="P247" s="5"/>
      <c r="Q247" s="104"/>
    </row>
    <row r="248" spans="1:17" ht="15.6" x14ac:dyDescent="0.3">
      <c r="A248" s="262"/>
      <c r="B248" s="264" t="s">
        <v>231</v>
      </c>
      <c r="C248" s="354"/>
      <c r="D248" s="354"/>
      <c r="E248" s="354"/>
      <c r="F248" s="354"/>
      <c r="G248" s="354"/>
      <c r="H248" s="354"/>
      <c r="I248" s="354"/>
      <c r="J248" s="264">
        <v>4</v>
      </c>
      <c r="K248" s="355">
        <f t="shared" si="5"/>
        <v>1.6103059581320451E-3</v>
      </c>
      <c r="L248" s="265">
        <v>1087</v>
      </c>
      <c r="M248" s="355">
        <f t="shared" si="6"/>
        <v>1.0924513321474157E-2</v>
      </c>
      <c r="N248" s="332"/>
      <c r="O248" s="356"/>
      <c r="P248" s="5"/>
      <c r="Q248" s="104"/>
    </row>
    <row r="249" spans="1:17" ht="15.6" x14ac:dyDescent="0.3">
      <c r="A249" s="262"/>
      <c r="B249" s="264" t="s">
        <v>232</v>
      </c>
      <c r="C249" s="354"/>
      <c r="D249" s="354"/>
      <c r="E249" s="354"/>
      <c r="F249" s="354"/>
      <c r="G249" s="354"/>
      <c r="H249" s="354"/>
      <c r="I249" s="354"/>
      <c r="J249" s="264">
        <v>2</v>
      </c>
      <c r="K249" s="355">
        <f t="shared" si="5"/>
        <v>8.0515297906602254E-4</v>
      </c>
      <c r="L249" s="265">
        <v>181</v>
      </c>
      <c r="M249" s="355">
        <f t="shared" si="6"/>
        <v>1.8190771952040683E-3</v>
      </c>
      <c r="N249" s="332"/>
      <c r="O249" s="356"/>
      <c r="P249" s="5"/>
      <c r="Q249" s="104"/>
    </row>
    <row r="250" spans="1:17" ht="15.6" x14ac:dyDescent="0.3">
      <c r="A250" s="262"/>
      <c r="B250" s="264" t="s">
        <v>233</v>
      </c>
      <c r="C250" s="354"/>
      <c r="D250" s="354"/>
      <c r="E250" s="354"/>
      <c r="F250" s="354"/>
      <c r="G250" s="354"/>
      <c r="H250" s="354"/>
      <c r="I250" s="354"/>
      <c r="J250" s="264">
        <v>2</v>
      </c>
      <c r="K250" s="355">
        <f t="shared" si="5"/>
        <v>8.0515297906602254E-4</v>
      </c>
      <c r="L250" s="265">
        <v>188</v>
      </c>
      <c r="M250" s="355">
        <f t="shared" si="6"/>
        <v>1.889428246952292E-3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2484</v>
      </c>
      <c r="K252" s="355">
        <f>SUM(K238:K251)</f>
        <v>1</v>
      </c>
      <c r="L252" s="265">
        <f>SUM(L238:L251)</f>
        <v>99501</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1</v>
      </c>
      <c r="K277" s="355">
        <f t="shared" si="7"/>
        <v>0.25</v>
      </c>
      <c r="L277" s="265">
        <v>20</v>
      </c>
      <c r="M277" s="355">
        <f t="shared" si="8"/>
        <v>0.24691358024691357</v>
      </c>
      <c r="N277" s="263"/>
      <c r="O277" s="266"/>
      <c r="P277" s="5"/>
    </row>
    <row r="278" spans="1:16" ht="15.6" x14ac:dyDescent="0.3">
      <c r="A278" s="262"/>
      <c r="B278" s="264" t="s">
        <v>227</v>
      </c>
      <c r="C278" s="263"/>
      <c r="D278" s="357"/>
      <c r="E278" s="357"/>
      <c r="F278" s="357"/>
      <c r="G278" s="357"/>
      <c r="H278" s="357"/>
      <c r="I278" s="357"/>
      <c r="J278" s="264">
        <v>1</v>
      </c>
      <c r="K278" s="355">
        <f t="shared" si="7"/>
        <v>0.25</v>
      </c>
      <c r="L278" s="265">
        <v>15</v>
      </c>
      <c r="M278" s="355">
        <f t="shared" si="8"/>
        <v>0.18518518518518517</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1</v>
      </c>
      <c r="K282" s="355">
        <f t="shared" si="7"/>
        <v>0.25</v>
      </c>
      <c r="L282" s="265">
        <v>23</v>
      </c>
      <c r="M282" s="355">
        <f t="shared" si="8"/>
        <v>0.2839506172839506</v>
      </c>
      <c r="N282" s="263"/>
      <c r="O282" s="266"/>
      <c r="P282" s="5"/>
    </row>
    <row r="283" spans="1:16" ht="15.6" x14ac:dyDescent="0.3">
      <c r="A283" s="262"/>
      <c r="B283" s="264" t="s">
        <v>232</v>
      </c>
      <c r="C283" s="263"/>
      <c r="D283" s="357"/>
      <c r="E283" s="357"/>
      <c r="F283" s="357"/>
      <c r="G283" s="357"/>
      <c r="H283" s="357"/>
      <c r="I283" s="357"/>
      <c r="J283" s="264">
        <v>1</v>
      </c>
      <c r="K283" s="355">
        <f t="shared" si="7"/>
        <v>0.25</v>
      </c>
      <c r="L283" s="265">
        <v>23</v>
      </c>
      <c r="M283" s="355">
        <f t="shared" si="8"/>
        <v>0.2839506172839506</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4</v>
      </c>
      <c r="K286" s="355">
        <f>SUM(K272:K284)</f>
        <v>1</v>
      </c>
      <c r="L286" s="265">
        <f>SUM(L272:L284)</f>
        <v>81</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2488</v>
      </c>
      <c r="K288" s="355"/>
      <c r="L288" s="359">
        <f>+L286+L269+L252</f>
        <v>99582</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89</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239</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90</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MAY 2011</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honeticPr fontId="0" type="noConversion"/>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sheetPr>
  <dimension ref="A1:IV299"/>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5.57E-2</v>
      </c>
      <c r="L16" s="232" t="s">
        <v>133</v>
      </c>
      <c r="M16" s="231">
        <v>0.94430000000000003</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40807</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152</v>
      </c>
      <c r="G25" s="386"/>
      <c r="H25" s="386" t="s">
        <v>135</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93606.92379999999</v>
      </c>
      <c r="E29" s="279"/>
      <c r="F29" s="279">
        <f>F28*F32</f>
        <v>2987.3893499999999</v>
      </c>
      <c r="G29" s="279"/>
      <c r="H29" s="279">
        <f>H28*H32</f>
        <v>2987.3893499999999</v>
      </c>
      <c r="I29" s="279"/>
      <c r="J29" s="284"/>
      <c r="K29" s="279"/>
      <c r="L29" s="279"/>
      <c r="M29" s="280"/>
      <c r="N29" s="279">
        <f>SUM(D29:H29)</f>
        <v>99581.702499999985</v>
      </c>
      <c r="O29" s="281"/>
      <c r="P29" s="5"/>
    </row>
    <row r="30" spans="1:16" ht="15.6" x14ac:dyDescent="0.3">
      <c r="A30" s="274"/>
      <c r="B30" s="275" t="s">
        <v>130</v>
      </c>
      <c r="C30" s="278"/>
      <c r="D30" s="285">
        <f>D28*D31</f>
        <v>89508.060499999992</v>
      </c>
      <c r="E30" s="285"/>
      <c r="F30" s="285">
        <f>F28*F31</f>
        <v>2856.5735400000003</v>
      </c>
      <c r="G30" s="285"/>
      <c r="H30" s="285">
        <f>H28*H31</f>
        <v>2856.5735400000003</v>
      </c>
      <c r="I30" s="285"/>
      <c r="J30" s="288"/>
      <c r="K30" s="279"/>
      <c r="L30" s="279"/>
      <c r="M30" s="280"/>
      <c r="N30" s="285">
        <f>SUM(D30:I30)+1</f>
        <v>95222.207579999988</v>
      </c>
      <c r="O30" s="281"/>
      <c r="P30" s="5"/>
    </row>
    <row r="31" spans="1:16" ht="15.6" x14ac:dyDescent="0.3">
      <c r="A31" s="262"/>
      <c r="B31" s="290" t="s">
        <v>126</v>
      </c>
      <c r="C31" s="291"/>
      <c r="D31" s="292">
        <v>0.34360099999999999</v>
      </c>
      <c r="E31" s="292"/>
      <c r="F31" s="292">
        <v>0.70532680000000003</v>
      </c>
      <c r="G31" s="292"/>
      <c r="H31" s="292">
        <v>0.70532680000000003</v>
      </c>
      <c r="I31" s="293"/>
      <c r="J31" s="293"/>
      <c r="K31" s="294"/>
      <c r="L31" s="294"/>
      <c r="M31" s="269"/>
      <c r="N31" s="269"/>
      <c r="O31" s="270"/>
      <c r="P31" s="5"/>
    </row>
    <row r="32" spans="1:16" ht="15.6" x14ac:dyDescent="0.3">
      <c r="A32" s="262"/>
      <c r="B32" s="290" t="s">
        <v>127</v>
      </c>
      <c r="C32" s="291"/>
      <c r="D32" s="292">
        <v>0.35933559999999998</v>
      </c>
      <c r="E32" s="292"/>
      <c r="F32" s="292">
        <v>0.73762700000000003</v>
      </c>
      <c r="G32" s="292"/>
      <c r="H32" s="292">
        <v>0.73762700000000003</v>
      </c>
      <c r="I32" s="293"/>
      <c r="J32" s="293"/>
      <c r="K32" s="295"/>
      <c r="L32" s="296"/>
      <c r="M32" s="269"/>
      <c r="N32" s="295"/>
      <c r="O32" s="270"/>
      <c r="P32" s="5"/>
    </row>
    <row r="33" spans="1:17" ht="15.6" x14ac:dyDescent="0.3">
      <c r="A33" s="274"/>
      <c r="B33" s="263" t="s">
        <v>9</v>
      </c>
      <c r="C33" s="263"/>
      <c r="D33" s="276" t="s">
        <v>192</v>
      </c>
      <c r="E33" s="276"/>
      <c r="F33" s="276" t="s">
        <v>194</v>
      </c>
      <c r="G33" s="276"/>
      <c r="H33" s="276" t="s">
        <v>196</v>
      </c>
      <c r="I33" s="276"/>
      <c r="J33" s="276"/>
      <c r="K33" s="297"/>
      <c r="L33" s="298"/>
      <c r="M33" s="268"/>
      <c r="N33" s="268"/>
      <c r="O33" s="266"/>
      <c r="P33" s="5"/>
    </row>
    <row r="34" spans="1:17" ht="15.6" x14ac:dyDescent="0.3">
      <c r="A34" s="274"/>
      <c r="B34" s="263" t="s">
        <v>10</v>
      </c>
      <c r="C34" s="263"/>
      <c r="D34" s="298">
        <v>9.4438000000000005E-3</v>
      </c>
      <c r="E34" s="297"/>
      <c r="F34" s="298">
        <v>1.00438E-2</v>
      </c>
      <c r="G34" s="297"/>
      <c r="H34" s="298">
        <v>1.1043799999999999E-2</v>
      </c>
      <c r="I34" s="297"/>
      <c r="J34" s="298"/>
      <c r="K34" s="297"/>
      <c r="L34" s="298"/>
      <c r="M34" s="268"/>
      <c r="N34" s="297">
        <f>SUMPRODUCT(D34:H34,D29:H29)/N29</f>
        <v>9.50979863634587E-3</v>
      </c>
      <c r="O34" s="266"/>
      <c r="P34" s="5"/>
    </row>
    <row r="35" spans="1:17" ht="15.6" x14ac:dyDescent="0.3">
      <c r="A35" s="274"/>
      <c r="B35" s="263" t="s">
        <v>11</v>
      </c>
      <c r="C35" s="263"/>
      <c r="D35" s="298">
        <v>9.2563000000000003E-3</v>
      </c>
      <c r="E35" s="297"/>
      <c r="F35" s="298">
        <v>9.8563000000000001E-3</v>
      </c>
      <c r="G35" s="297"/>
      <c r="H35" s="298">
        <v>1.0856299999999999E-2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6.3828297117442298E-2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40801</v>
      </c>
      <c r="O45" s="266"/>
      <c r="P45" s="5"/>
    </row>
    <row r="46" spans="1:17" ht="15.6" x14ac:dyDescent="0.3">
      <c r="A46" s="274"/>
      <c r="B46" s="263" t="s">
        <v>119</v>
      </c>
      <c r="C46" s="263"/>
      <c r="D46" s="305"/>
      <c r="E46" s="305"/>
      <c r="F46" s="305"/>
      <c r="G46" s="305"/>
      <c r="H46" s="305"/>
      <c r="I46" s="305"/>
      <c r="J46" s="263">
        <f>+N46-L46+1</f>
        <v>92</v>
      </c>
      <c r="K46" s="305"/>
      <c r="L46" s="306">
        <v>40617</v>
      </c>
      <c r="M46" s="307"/>
      <c r="N46" s="306">
        <v>40708</v>
      </c>
      <c r="O46" s="266"/>
      <c r="P46" s="5"/>
    </row>
    <row r="47" spans="1:17" ht="15.6" x14ac:dyDescent="0.3">
      <c r="A47" s="274"/>
      <c r="B47" s="263" t="s">
        <v>120</v>
      </c>
      <c r="C47" s="263"/>
      <c r="D47" s="263"/>
      <c r="E47" s="263"/>
      <c r="F47" s="263"/>
      <c r="G47" s="263"/>
      <c r="H47" s="263"/>
      <c r="I47" s="263"/>
      <c r="J47" s="263">
        <f>+N47-L47+1</f>
        <v>92</v>
      </c>
      <c r="K47" s="263"/>
      <c r="L47" s="306">
        <v>40709</v>
      </c>
      <c r="M47" s="307"/>
      <c r="N47" s="306">
        <v>40800</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40787</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262</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99582</v>
      </c>
      <c r="G56" s="264"/>
      <c r="H56" s="264">
        <f>4360+1210+461</f>
        <v>6031</v>
      </c>
      <c r="I56" s="264"/>
      <c r="J56" s="264">
        <f>1210+461</f>
        <v>1671</v>
      </c>
      <c r="K56" s="264"/>
      <c r="L56" s="264">
        <v>0</v>
      </c>
      <c r="M56" s="264"/>
      <c r="N56" s="265">
        <f>+F56-H56+J56-L56</f>
        <v>95222</v>
      </c>
      <c r="O56" s="266"/>
      <c r="P56" s="5"/>
    </row>
    <row r="57" spans="1:16" ht="15.6" x14ac:dyDescent="0.3">
      <c r="A57" s="262"/>
      <c r="B57" s="263" t="s">
        <v>209</v>
      </c>
      <c r="C57" s="264"/>
      <c r="D57" s="264">
        <v>756</v>
      </c>
      <c r="E57" s="264"/>
      <c r="F57" s="265">
        <v>455</v>
      </c>
      <c r="G57" s="264"/>
      <c r="H57" s="264">
        <v>3</v>
      </c>
      <c r="I57" s="264"/>
      <c r="J57" s="264">
        <v>0</v>
      </c>
      <c r="K57" s="264"/>
      <c r="L57" s="264">
        <v>0</v>
      </c>
      <c r="M57" s="264"/>
      <c r="N57" s="265">
        <f>+F57-H57</f>
        <v>452</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100037</v>
      </c>
      <c r="G59" s="264"/>
      <c r="H59" s="264">
        <f>SUM(H56:H58)</f>
        <v>6034</v>
      </c>
      <c r="I59" s="264"/>
      <c r="J59" s="264">
        <f>SUM(J56:J58)</f>
        <v>1671</v>
      </c>
      <c r="K59" s="264"/>
      <c r="L59" s="264">
        <f>SUM(L56:L58)</f>
        <v>0</v>
      </c>
      <c r="M59" s="264"/>
      <c r="N59" s="264">
        <f>SUM(N56:N58)</f>
        <v>95674</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-455</v>
      </c>
      <c r="G68" s="264"/>
      <c r="H68" s="264"/>
      <c r="I68" s="264"/>
      <c r="J68" s="264"/>
      <c r="K68" s="264"/>
      <c r="L68" s="264"/>
      <c r="M68" s="264"/>
      <c r="N68" s="265">
        <f>-N57</f>
        <v>-452</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99582</v>
      </c>
      <c r="G72" s="264"/>
      <c r="H72" s="264"/>
      <c r="I72" s="264"/>
      <c r="J72" s="264"/>
      <c r="K72" s="264"/>
      <c r="L72" s="264"/>
      <c r="M72" s="264"/>
      <c r="N72" s="264">
        <f>SUM(N59:N71)</f>
        <v>95222</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40786</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6031-12</f>
        <v>6019</v>
      </c>
      <c r="M77" s="263"/>
      <c r="N77" s="265"/>
      <c r="O77" s="266"/>
      <c r="P77" s="5"/>
    </row>
    <row r="78" spans="1:16" ht="15.6" x14ac:dyDescent="0.3">
      <c r="A78" s="262"/>
      <c r="B78" s="263" t="s">
        <v>176</v>
      </c>
      <c r="C78" s="263"/>
      <c r="D78" s="300"/>
      <c r="E78" s="263"/>
      <c r="F78" s="309"/>
      <c r="G78" s="263"/>
      <c r="H78" s="263"/>
      <c r="I78" s="263"/>
      <c r="J78" s="263"/>
      <c r="K78" s="263"/>
      <c r="L78" s="264"/>
      <c r="M78" s="263"/>
      <c r="N78" s="265">
        <f>1898+123+1568-2281-62-814</f>
        <v>432</v>
      </c>
      <c r="O78" s="266"/>
      <c r="P78" s="5"/>
    </row>
    <row r="79" spans="1:16" ht="15.6" x14ac:dyDescent="0.3">
      <c r="A79" s="262"/>
      <c r="B79" s="263" t="s">
        <v>174</v>
      </c>
      <c r="C79" s="263"/>
      <c r="D79" s="300"/>
      <c r="E79" s="263"/>
      <c r="F79" s="309"/>
      <c r="G79" s="263"/>
      <c r="H79" s="263"/>
      <c r="I79" s="263"/>
      <c r="J79" s="263"/>
      <c r="K79" s="263"/>
      <c r="L79" s="264"/>
      <c r="M79" s="263"/>
      <c r="N79" s="265">
        <f>28+1+24</f>
        <v>53</v>
      </c>
      <c r="O79" s="266"/>
      <c r="P79" s="5"/>
    </row>
    <row r="80" spans="1:16" ht="15.6" x14ac:dyDescent="0.3">
      <c r="A80" s="262"/>
      <c r="B80" s="263" t="s">
        <v>175</v>
      </c>
      <c r="C80" s="263"/>
      <c r="D80" s="300"/>
      <c r="E80" s="263"/>
      <c r="F80" s="309"/>
      <c r="G80" s="263"/>
      <c r="H80" s="263"/>
      <c r="I80" s="263"/>
      <c r="J80" s="263"/>
      <c r="K80" s="263"/>
      <c r="L80" s="264"/>
      <c r="M80" s="263"/>
      <c r="N80" s="265">
        <v>5</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6019</v>
      </c>
      <c r="M83" s="263"/>
      <c r="N83" s="264">
        <f>SUM(N76:N82)</f>
        <v>490</v>
      </c>
      <c r="O83" s="266"/>
      <c r="P83" s="5"/>
    </row>
    <row r="84" spans="1:17" ht="15.6" x14ac:dyDescent="0.3">
      <c r="A84" s="262"/>
      <c r="B84" s="263" t="s">
        <v>148</v>
      </c>
      <c r="C84" s="263"/>
      <c r="D84" s="263"/>
      <c r="E84" s="263"/>
      <c r="F84" s="263"/>
      <c r="G84" s="263"/>
      <c r="H84" s="263"/>
      <c r="I84" s="263"/>
      <c r="J84" s="263"/>
      <c r="K84" s="263"/>
      <c r="L84" s="264">
        <v>-1210</v>
      </c>
      <c r="M84" s="263"/>
      <c r="N84" s="264">
        <f>-L84</f>
        <v>1210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4809</v>
      </c>
      <c r="M87" s="263"/>
      <c r="N87" s="264">
        <f>N83+N85+N84+N86</f>
        <v>1700</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-38-1-110</f>
        <v>-149</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-223</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-8</v>
      </c>
      <c r="O95" s="266"/>
      <c r="P95" s="5"/>
      <c r="Q95" s="104"/>
    </row>
    <row r="96" spans="1:17" ht="15.6" x14ac:dyDescent="0.3">
      <c r="A96" s="274" t="s">
        <v>170</v>
      </c>
      <c r="B96" s="263" t="s">
        <v>216</v>
      </c>
      <c r="C96" s="263"/>
      <c r="D96" s="263"/>
      <c r="E96" s="263"/>
      <c r="F96" s="263"/>
      <c r="G96" s="263"/>
      <c r="H96" s="263"/>
      <c r="I96" s="263"/>
      <c r="J96" s="263"/>
      <c r="K96" s="263"/>
      <c r="L96" s="263"/>
      <c r="M96" s="263"/>
      <c r="N96" s="265">
        <v>-8</v>
      </c>
      <c r="O96" s="266"/>
      <c r="P96" s="5"/>
      <c r="Q96" s="104"/>
    </row>
    <row r="97" spans="1:16" ht="15.6" x14ac:dyDescent="0.3">
      <c r="A97" s="274">
        <v>7</v>
      </c>
      <c r="B97" s="263" t="s">
        <v>33</v>
      </c>
      <c r="C97" s="263"/>
      <c r="D97" s="263"/>
      <c r="E97" s="263"/>
      <c r="F97" s="263"/>
      <c r="G97" s="263"/>
      <c r="H97" s="263"/>
      <c r="I97" s="263"/>
      <c r="J97" s="263"/>
      <c r="K97" s="263"/>
      <c r="L97" s="263"/>
      <c r="M97" s="263"/>
      <c r="N97" s="265">
        <v>-9</v>
      </c>
      <c r="O97" s="266"/>
      <c r="P97" s="5"/>
    </row>
    <row r="98" spans="1:16" ht="15.6" x14ac:dyDescent="0.3">
      <c r="A98" s="274">
        <f t="shared" ref="A98:A104" si="0">+A97+1</f>
        <v>8</v>
      </c>
      <c r="B98" s="263" t="s">
        <v>42</v>
      </c>
      <c r="C98" s="263"/>
      <c r="D98" s="263"/>
      <c r="E98" s="263"/>
      <c r="F98" s="263"/>
      <c r="G98" s="263"/>
      <c r="H98" s="263"/>
      <c r="I98" s="263"/>
      <c r="J98" s="263"/>
      <c r="K98" s="263"/>
      <c r="L98" s="264">
        <f>-N98</f>
        <v>12</v>
      </c>
      <c r="M98" s="263"/>
      <c r="N98" s="265">
        <v>-12</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-38</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-1250</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-461</v>
      </c>
      <c r="M107" s="264"/>
      <c r="N107" s="265"/>
      <c r="O107" s="266"/>
      <c r="P107" s="5"/>
    </row>
    <row r="108" spans="1:16" ht="15.6" x14ac:dyDescent="0.3">
      <c r="A108" s="274"/>
      <c r="B108" s="263" t="s">
        <v>200</v>
      </c>
      <c r="C108" s="263"/>
      <c r="D108" s="263"/>
      <c r="E108" s="263"/>
      <c r="F108" s="263"/>
      <c r="G108" s="263"/>
      <c r="H108" s="263"/>
      <c r="I108" s="263"/>
      <c r="J108" s="263"/>
      <c r="K108" s="263"/>
      <c r="L108" s="264">
        <v>-4098</v>
      </c>
      <c r="M108" s="264"/>
      <c r="N108" s="265"/>
      <c r="O108" s="266"/>
      <c r="P108" s="5"/>
    </row>
    <row r="109" spans="1:16" ht="15.6" x14ac:dyDescent="0.3">
      <c r="A109" s="274"/>
      <c r="B109" s="263" t="s">
        <v>201</v>
      </c>
      <c r="C109" s="263"/>
      <c r="D109" s="263"/>
      <c r="E109" s="263"/>
      <c r="F109" s="263"/>
      <c r="G109" s="263"/>
      <c r="H109" s="263"/>
      <c r="I109" s="263"/>
      <c r="J109" s="263"/>
      <c r="K109" s="263"/>
      <c r="L109" s="264">
        <v>-131</v>
      </c>
      <c r="M109" s="264"/>
      <c r="N109" s="265"/>
      <c r="O109" s="266"/>
      <c r="P109" s="5"/>
    </row>
    <row r="110" spans="1:16" ht="15.6" x14ac:dyDescent="0.3">
      <c r="A110" s="274"/>
      <c r="B110" s="263" t="s">
        <v>202</v>
      </c>
      <c r="C110" s="263"/>
      <c r="D110" s="263"/>
      <c r="E110" s="263"/>
      <c r="F110" s="263"/>
      <c r="G110" s="263"/>
      <c r="H110" s="263"/>
      <c r="I110" s="263"/>
      <c r="J110" s="263"/>
      <c r="K110" s="263"/>
      <c r="L110" s="264">
        <v>-131</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-4821</v>
      </c>
      <c r="M111" s="264"/>
      <c r="N111" s="264">
        <f>SUM(N88:N109)</f>
        <v>-1700</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AUGUST 2011</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12</v>
      </c>
      <c r="O144" s="266"/>
      <c r="P144" s="5"/>
    </row>
    <row r="145" spans="1:256" ht="15.6" x14ac:dyDescent="0.3">
      <c r="A145" s="262"/>
      <c r="B145" s="263" t="s">
        <v>51</v>
      </c>
      <c r="C145" s="263"/>
      <c r="D145" s="263"/>
      <c r="E145" s="263"/>
      <c r="F145" s="263"/>
      <c r="G145" s="263"/>
      <c r="H145" s="263"/>
      <c r="I145" s="263"/>
      <c r="J145" s="263"/>
      <c r="K145" s="263"/>
      <c r="L145" s="263"/>
      <c r="M145" s="263"/>
      <c r="N145" s="265">
        <f>+N143+N144</f>
        <v>12</v>
      </c>
      <c r="O145" s="266"/>
      <c r="P145" s="5"/>
    </row>
    <row r="146" spans="1:256" ht="15.6" x14ac:dyDescent="0.3">
      <c r="A146" s="262"/>
      <c r="B146" s="263" t="s">
        <v>264</v>
      </c>
      <c r="C146" s="263"/>
      <c r="D146" s="263"/>
      <c r="E146" s="263"/>
      <c r="F146" s="263"/>
      <c r="G146" s="263"/>
      <c r="H146" s="263"/>
      <c r="I146" s="263"/>
      <c r="J146" s="263"/>
      <c r="K146" s="263"/>
      <c r="L146" s="263"/>
      <c r="M146" s="263"/>
      <c r="N146" s="265">
        <f>N98</f>
        <v>-12</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95222</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95222</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+'May 11'!N161</f>
        <v>455</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3</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452</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+'May 11'!L168</f>
        <v>14854</v>
      </c>
      <c r="M166" s="263"/>
      <c r="N166" s="265">
        <f>K166+L166</f>
        <v>14854</v>
      </c>
      <c r="O166" s="266"/>
      <c r="P166" s="5"/>
    </row>
    <row r="167" spans="1:256" ht="15.6" x14ac:dyDescent="0.3">
      <c r="A167" s="262"/>
      <c r="B167" s="263" t="s">
        <v>58</v>
      </c>
      <c r="C167" s="263"/>
      <c r="D167" s="263"/>
      <c r="E167" s="263"/>
      <c r="F167" s="263"/>
      <c r="G167" s="263"/>
      <c r="H167" s="263"/>
      <c r="I167" s="263"/>
      <c r="J167" s="263"/>
      <c r="K167" s="264">
        <v>0</v>
      </c>
      <c r="L167" s="264">
        <f>-L107</f>
        <v>461</v>
      </c>
      <c r="M167" s="263"/>
      <c r="N167" s="265">
        <f>K167+L167</f>
        <v>461</v>
      </c>
      <c r="O167" s="266"/>
      <c r="P167" s="5"/>
    </row>
    <row r="168" spans="1:256" ht="15.6" x14ac:dyDescent="0.3">
      <c r="A168" s="262"/>
      <c r="B168" s="263" t="s">
        <v>59</v>
      </c>
      <c r="C168" s="263"/>
      <c r="D168" s="263"/>
      <c r="E168" s="263"/>
      <c r="F168" s="263"/>
      <c r="G168" s="263"/>
      <c r="H168" s="263"/>
      <c r="I168" s="263"/>
      <c r="J168" s="263"/>
      <c r="K168" s="265">
        <f>K166+K167</f>
        <v>0</v>
      </c>
      <c r="L168" s="265">
        <f>L167+L166</f>
        <v>15315</v>
      </c>
      <c r="M168" s="263"/>
      <c r="N168" s="265">
        <f>K168+L168</f>
        <v>15315</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6.9461883408071747</v>
      </c>
      <c r="O173" s="266" t="s">
        <v>115</v>
      </c>
      <c r="P173" s="5"/>
    </row>
    <row r="174" spans="1:256" ht="15.6" x14ac:dyDescent="0.3">
      <c r="A174" s="262"/>
      <c r="B174" s="263" t="s">
        <v>63</v>
      </c>
      <c r="C174" s="263"/>
      <c r="D174" s="263"/>
      <c r="E174" s="263"/>
      <c r="F174" s="263"/>
      <c r="G174" s="263"/>
      <c r="H174" s="263"/>
      <c r="I174" s="263"/>
      <c r="J174" s="263"/>
      <c r="K174" s="263"/>
      <c r="L174" s="263"/>
      <c r="M174" s="263"/>
      <c r="N174" s="315">
        <v>1.89</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165.75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40.61</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164.75</v>
      </c>
      <c r="O177" s="266" t="s">
        <v>115</v>
      </c>
      <c r="P177" s="5"/>
    </row>
    <row r="178" spans="1:16" ht="15.6" x14ac:dyDescent="0.3">
      <c r="A178" s="262"/>
      <c r="B178" s="263" t="s">
        <v>167</v>
      </c>
      <c r="C178" s="263"/>
      <c r="D178" s="263"/>
      <c r="E178" s="263"/>
      <c r="F178" s="263"/>
      <c r="G178" s="263"/>
      <c r="H178" s="263"/>
      <c r="I178" s="263"/>
      <c r="J178" s="263"/>
      <c r="K178" s="263"/>
      <c r="L178" s="263"/>
      <c r="M178" s="263"/>
      <c r="N178" s="315">
        <v>38.46</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AUGUST 2011</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40786</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5.3460000000000001E-2</v>
      </c>
      <c r="M188" s="263"/>
      <c r="N188" s="263"/>
      <c r="O188" s="266"/>
      <c r="P188" s="5"/>
    </row>
    <row r="189" spans="1:16" ht="15.6" x14ac:dyDescent="0.3">
      <c r="A189" s="321"/>
      <c r="B189" s="263" t="s">
        <v>212</v>
      </c>
      <c r="C189" s="322"/>
      <c r="D189" s="303"/>
      <c r="E189" s="303"/>
      <c r="F189" s="303"/>
      <c r="G189" s="303"/>
      <c r="H189" s="303"/>
      <c r="I189" s="303"/>
      <c r="J189" s="303"/>
      <c r="K189" s="303"/>
      <c r="L189" s="297">
        <f>N34</f>
        <v>9.50979863634587E-3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4.3950201363654129E-2</v>
      </c>
      <c r="M190" s="263"/>
      <c r="N190" s="263"/>
      <c r="O190" s="266"/>
      <c r="P190" s="5"/>
    </row>
    <row r="191" spans="1:16" ht="15.6" x14ac:dyDescent="0.3">
      <c r="A191" s="321"/>
      <c r="B191" s="263" t="s">
        <v>203</v>
      </c>
      <c r="C191" s="322"/>
      <c r="D191" s="303"/>
      <c r="E191" s="303"/>
      <c r="F191" s="303"/>
      <c r="G191" s="303"/>
      <c r="H191" s="303"/>
      <c r="I191" s="303"/>
      <c r="J191" s="303"/>
      <c r="K191" s="303"/>
      <c r="L191" s="297">
        <f>+N87/F59</f>
        <v>1.6993712326439217E-2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5.45</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6.0563153983651662E-2</v>
      </c>
      <c r="M197" s="263"/>
      <c r="N197" s="263"/>
      <c r="O197" s="266"/>
      <c r="P197" s="5"/>
    </row>
    <row r="198" spans="1:16" ht="15.6" x14ac:dyDescent="0.3">
      <c r="A198" s="321"/>
      <c r="B198" s="263" t="s">
        <v>74</v>
      </c>
      <c r="C198" s="322"/>
      <c r="D198" s="303"/>
      <c r="E198" s="303"/>
      <c r="F198" s="303"/>
      <c r="G198" s="303"/>
      <c r="H198" s="303"/>
      <c r="I198" s="303"/>
      <c r="J198" s="303"/>
      <c r="K198" s="303"/>
      <c r="L198" s="297">
        <v>0.25979999999999998</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25</v>
      </c>
      <c r="L201" s="331">
        <v>2291</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3</v>
      </c>
      <c r="L203" s="331">
        <f>+L286</f>
        <v>73</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12</v>
      </c>
      <c r="M207" s="291"/>
      <c r="N207" s="337"/>
      <c r="O207" s="342"/>
      <c r="P207" s="5"/>
    </row>
    <row r="208" spans="1:16" ht="15.6" x14ac:dyDescent="0.3">
      <c r="A208" s="330"/>
      <c r="B208" s="263" t="s">
        <v>82</v>
      </c>
      <c r="C208" s="264"/>
      <c r="D208" s="263"/>
      <c r="E208" s="263"/>
      <c r="F208" s="263"/>
      <c r="G208" s="263"/>
      <c r="H208" s="263"/>
      <c r="I208" s="263"/>
      <c r="J208" s="263"/>
      <c r="K208" s="276"/>
      <c r="L208" s="331">
        <f>'May 11'!L208+L207</f>
        <v>49</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1</v>
      </c>
      <c r="L210" s="331">
        <v>23</v>
      </c>
      <c r="M210" s="291"/>
      <c r="N210" s="337"/>
      <c r="O210" s="342"/>
      <c r="P210" s="5"/>
    </row>
    <row r="211" spans="1:17" ht="15.6" x14ac:dyDescent="0.3">
      <c r="A211" s="347"/>
      <c r="B211" s="263" t="s">
        <v>83</v>
      </c>
      <c r="C211" s="300"/>
      <c r="D211" s="263"/>
      <c r="E211" s="263"/>
      <c r="F211" s="263"/>
      <c r="G211" s="263"/>
      <c r="H211" s="263"/>
      <c r="I211" s="263"/>
      <c r="J211" s="263"/>
      <c r="K211" s="263"/>
      <c r="L211" s="339">
        <v>22.81</v>
      </c>
      <c r="M211" s="291"/>
      <c r="N211" s="337"/>
      <c r="O211" s="342"/>
      <c r="P211" s="5"/>
    </row>
    <row r="212" spans="1:17" ht="15.6" x14ac:dyDescent="0.3">
      <c r="A212" s="347"/>
      <c r="B212" s="263" t="s">
        <v>84</v>
      </c>
      <c r="C212" s="300"/>
      <c r="D212" s="263"/>
      <c r="E212" s="263"/>
      <c r="F212" s="263"/>
      <c r="G212" s="263"/>
      <c r="H212" s="263"/>
      <c r="I212" s="263"/>
      <c r="J212" s="263"/>
      <c r="K212" s="263"/>
      <c r="L212" s="339">
        <v>15.7</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2216</v>
      </c>
      <c r="K221" s="355">
        <f t="shared" ref="K221:K233" si="2">J221/$J$235</f>
        <v>0.93462673977224797</v>
      </c>
      <c r="L221" s="265">
        <f t="shared" ref="L221:L233" si="3">+L238+L255+L272</f>
        <v>86264</v>
      </c>
      <c r="M221" s="355">
        <f t="shared" ref="M221:M233" si="4">L221/$L$235</f>
        <v>0.90592510134212678</v>
      </c>
      <c r="N221" s="332"/>
      <c r="O221" s="356"/>
      <c r="P221" s="5"/>
    </row>
    <row r="222" spans="1:17" ht="15.6" x14ac:dyDescent="0.3">
      <c r="A222" s="262"/>
      <c r="B222" s="264" t="s">
        <v>86</v>
      </c>
      <c r="C222" s="354"/>
      <c r="D222" s="354"/>
      <c r="E222" s="354"/>
      <c r="F222" s="354"/>
      <c r="G222" s="354"/>
      <c r="H222" s="354"/>
      <c r="I222" s="354"/>
      <c r="J222" s="264">
        <f t="shared" si="1"/>
        <v>48</v>
      </c>
      <c r="K222" s="355">
        <f t="shared" si="2"/>
        <v>2.0244622522142555E-2</v>
      </c>
      <c r="L222" s="265">
        <f t="shared" si="3"/>
        <v>2357</v>
      </c>
      <c r="M222" s="355">
        <f t="shared" si="4"/>
        <v>2.4752683203461384E-2</v>
      </c>
      <c r="N222" s="332"/>
      <c r="O222" s="356"/>
      <c r="P222" s="5"/>
      <c r="Q222" s="104"/>
    </row>
    <row r="223" spans="1:17" ht="15.6" x14ac:dyDescent="0.3">
      <c r="A223" s="262"/>
      <c r="B223" s="264" t="s">
        <v>87</v>
      </c>
      <c r="C223" s="354"/>
      <c r="D223" s="354"/>
      <c r="E223" s="354"/>
      <c r="F223" s="354"/>
      <c r="G223" s="354"/>
      <c r="H223" s="354"/>
      <c r="I223" s="354"/>
      <c r="J223" s="264">
        <f t="shared" si="1"/>
        <v>21</v>
      </c>
      <c r="K223" s="355">
        <f t="shared" si="2"/>
        <v>8.8570223534373688E-3</v>
      </c>
      <c r="L223" s="265">
        <f t="shared" si="3"/>
        <v>1072</v>
      </c>
      <c r="M223" s="355">
        <f t="shared" si="4"/>
        <v>1.1257902585536956E-2</v>
      </c>
      <c r="N223" s="332"/>
      <c r="O223" s="356"/>
      <c r="P223" s="5"/>
    </row>
    <row r="224" spans="1:17" ht="15.6" x14ac:dyDescent="0.3">
      <c r="A224" s="262"/>
      <c r="B224" s="264" t="s">
        <v>145</v>
      </c>
      <c r="C224" s="354"/>
      <c r="D224" s="354"/>
      <c r="E224" s="354"/>
      <c r="F224" s="354"/>
      <c r="G224" s="354"/>
      <c r="H224" s="354"/>
      <c r="I224" s="354"/>
      <c r="J224" s="264">
        <f t="shared" si="1"/>
        <v>14</v>
      </c>
      <c r="K224" s="355">
        <f t="shared" si="2"/>
        <v>5.9046815689582453E-3</v>
      </c>
      <c r="L224" s="265">
        <f t="shared" si="3"/>
        <v>736</v>
      </c>
      <c r="M224" s="355">
        <f t="shared" si="4"/>
        <v>7.7293062527567158E-3</v>
      </c>
      <c r="N224" s="332"/>
      <c r="O224" s="356"/>
      <c r="P224" s="5"/>
      <c r="Q224" s="104"/>
    </row>
    <row r="225" spans="1:17" ht="15.6" x14ac:dyDescent="0.3">
      <c r="A225" s="262"/>
      <c r="B225" s="264" t="s">
        <v>146</v>
      </c>
      <c r="C225" s="354"/>
      <c r="D225" s="354"/>
      <c r="E225" s="354"/>
      <c r="F225" s="354"/>
      <c r="G225" s="354"/>
      <c r="H225" s="354"/>
      <c r="I225" s="354"/>
      <c r="J225" s="264">
        <f t="shared" si="1"/>
        <v>15</v>
      </c>
      <c r="K225" s="355">
        <f t="shared" si="2"/>
        <v>6.3264445381695485E-3</v>
      </c>
      <c r="L225" s="265">
        <f t="shared" si="3"/>
        <v>921</v>
      </c>
      <c r="M225" s="355">
        <f t="shared" si="4"/>
        <v>9.6721345907458366E-3</v>
      </c>
      <c r="N225" s="332"/>
      <c r="O225" s="356"/>
      <c r="P225" s="5"/>
    </row>
    <row r="226" spans="1:17" ht="15.6" x14ac:dyDescent="0.3">
      <c r="A226" s="262"/>
      <c r="B226" s="264" t="s">
        <v>147</v>
      </c>
      <c r="C226" s="354"/>
      <c r="D226" s="354"/>
      <c r="E226" s="354"/>
      <c r="F226" s="354"/>
      <c r="G226" s="354"/>
      <c r="H226" s="354"/>
      <c r="I226" s="354"/>
      <c r="J226" s="264">
        <f t="shared" si="1"/>
        <v>16</v>
      </c>
      <c r="K226" s="355">
        <f t="shared" si="2"/>
        <v>6.7482075073808517E-3</v>
      </c>
      <c r="L226" s="265">
        <f t="shared" si="3"/>
        <v>789</v>
      </c>
      <c r="M226" s="355">
        <f t="shared" si="4"/>
        <v>8.2859003171535991E-3</v>
      </c>
      <c r="N226" s="332"/>
      <c r="O226" s="356"/>
      <c r="P226" s="5"/>
      <c r="Q226" s="104"/>
    </row>
    <row r="227" spans="1:17" ht="15.6" x14ac:dyDescent="0.3">
      <c r="A227" s="262"/>
      <c r="B227" s="264" t="s">
        <v>227</v>
      </c>
      <c r="C227" s="354"/>
      <c r="D227" s="354"/>
      <c r="E227" s="354"/>
      <c r="F227" s="354"/>
      <c r="G227" s="354"/>
      <c r="H227" s="354"/>
      <c r="I227" s="354"/>
      <c r="J227" s="264">
        <f t="shared" si="1"/>
        <v>19</v>
      </c>
      <c r="K227" s="355">
        <f t="shared" si="2"/>
        <v>8.0134964150147623E-3</v>
      </c>
      <c r="L227" s="265">
        <f t="shared" si="3"/>
        <v>1003</v>
      </c>
      <c r="M227" s="355">
        <f t="shared" si="4"/>
        <v>1.0533280124341014E-2</v>
      </c>
      <c r="N227" s="332"/>
      <c r="O227" s="356"/>
      <c r="P227" s="5"/>
    </row>
    <row r="228" spans="1:17" ht="15.6" x14ac:dyDescent="0.3">
      <c r="A228" s="262"/>
      <c r="B228" s="264" t="s">
        <v>228</v>
      </c>
      <c r="C228" s="354"/>
      <c r="D228" s="354"/>
      <c r="E228" s="354"/>
      <c r="F228" s="354"/>
      <c r="G228" s="354"/>
      <c r="H228" s="354"/>
      <c r="I228" s="354"/>
      <c r="J228" s="264">
        <f t="shared" si="1"/>
        <v>7</v>
      </c>
      <c r="K228" s="355">
        <f t="shared" si="2"/>
        <v>2.9523407844791226E-3</v>
      </c>
      <c r="L228" s="265">
        <f t="shared" si="3"/>
        <v>1201</v>
      </c>
      <c r="M228" s="355">
        <f t="shared" si="4"/>
        <v>1.2612631534729369E-2</v>
      </c>
      <c r="N228" s="332"/>
      <c r="O228" s="356"/>
      <c r="P228" s="5"/>
      <c r="Q228" s="104"/>
    </row>
    <row r="229" spans="1:17" ht="15.6" x14ac:dyDescent="0.3">
      <c r="A229" s="262"/>
      <c r="B229" s="264" t="s">
        <v>229</v>
      </c>
      <c r="C229" s="354"/>
      <c r="D229" s="354"/>
      <c r="E229" s="354"/>
      <c r="F229" s="354"/>
      <c r="G229" s="354"/>
      <c r="H229" s="354"/>
      <c r="I229" s="354"/>
      <c r="J229" s="264">
        <f t="shared" si="1"/>
        <v>5</v>
      </c>
      <c r="K229" s="355">
        <f t="shared" si="2"/>
        <v>2.1088148460565162E-3</v>
      </c>
      <c r="L229" s="265">
        <f t="shared" si="3"/>
        <v>365</v>
      </c>
      <c r="M229" s="355">
        <f t="shared" si="4"/>
        <v>3.8331478019785342E-3</v>
      </c>
      <c r="N229" s="332"/>
      <c r="O229" s="356"/>
      <c r="P229" s="5"/>
      <c r="Q229" s="104"/>
    </row>
    <row r="230" spans="1:17" ht="15.6" x14ac:dyDescent="0.3">
      <c r="A230" s="262"/>
      <c r="B230" s="264" t="s">
        <v>230</v>
      </c>
      <c r="C230" s="354"/>
      <c r="D230" s="354"/>
      <c r="E230" s="354"/>
      <c r="F230" s="354"/>
      <c r="G230" s="354"/>
      <c r="H230" s="354"/>
      <c r="I230" s="354"/>
      <c r="J230" s="264">
        <f t="shared" si="1"/>
        <v>2</v>
      </c>
      <c r="K230" s="355">
        <f t="shared" si="2"/>
        <v>8.4352593842260647E-4</v>
      </c>
      <c r="L230" s="265">
        <f t="shared" si="3"/>
        <v>174</v>
      </c>
      <c r="M230" s="355">
        <f t="shared" si="4"/>
        <v>1.8273088151897672E-3</v>
      </c>
      <c r="N230" s="332"/>
      <c r="O230" s="356"/>
      <c r="P230" s="5"/>
      <c r="Q230" s="104"/>
    </row>
    <row r="231" spans="1:17" ht="15.6" x14ac:dyDescent="0.3">
      <c r="A231" s="262"/>
      <c r="B231" s="264" t="s">
        <v>231</v>
      </c>
      <c r="C231" s="354"/>
      <c r="D231" s="354"/>
      <c r="E231" s="354"/>
      <c r="F231" s="354"/>
      <c r="G231" s="354"/>
      <c r="H231" s="354"/>
      <c r="I231" s="354"/>
      <c r="J231" s="264">
        <f t="shared" si="1"/>
        <v>1</v>
      </c>
      <c r="K231" s="355">
        <f t="shared" si="2"/>
        <v>4.2176296921130323E-4</v>
      </c>
      <c r="L231" s="265">
        <f t="shared" si="3"/>
        <v>36</v>
      </c>
      <c r="M231" s="355">
        <f t="shared" si="4"/>
        <v>3.7806389279788287E-4</v>
      </c>
      <c r="N231" s="332"/>
      <c r="O231" s="356"/>
      <c r="P231" s="5"/>
      <c r="Q231" s="104"/>
    </row>
    <row r="232" spans="1:17" ht="15.6" x14ac:dyDescent="0.3">
      <c r="A232" s="262"/>
      <c r="B232" s="264" t="s">
        <v>232</v>
      </c>
      <c r="C232" s="354"/>
      <c r="D232" s="354"/>
      <c r="E232" s="354"/>
      <c r="F232" s="354"/>
      <c r="G232" s="354"/>
      <c r="H232" s="354"/>
      <c r="I232" s="354"/>
      <c r="J232" s="264">
        <f t="shared" si="1"/>
        <v>2</v>
      </c>
      <c r="K232" s="355">
        <f t="shared" si="2"/>
        <v>8.4352593842260647E-4</v>
      </c>
      <c r="L232" s="265">
        <f t="shared" si="3"/>
        <v>117</v>
      </c>
      <c r="M232" s="355">
        <f t="shared" si="4"/>
        <v>1.2287076515931192E-3</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2.1088148460565162E-3</v>
      </c>
      <c r="L233" s="265">
        <f t="shared" si="3"/>
        <v>187</v>
      </c>
      <c r="M233" s="355">
        <f t="shared" si="4"/>
        <v>1.9638318875890024E-3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2371</v>
      </c>
      <c r="K235" s="355">
        <f>SUM(K221:K234)</f>
        <v>1</v>
      </c>
      <c r="L235" s="265">
        <f>SUM(L221:L234)</f>
        <v>95222</v>
      </c>
      <c r="M235" s="355">
        <f>SUM(M221:M234)</f>
        <v>0.99999999999999978</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2216</v>
      </c>
      <c r="K238" s="355">
        <f t="shared" ref="K238:K250" si="5">J238/$J$252</f>
        <v>0.93581081081081086</v>
      </c>
      <c r="L238" s="265">
        <v>86264</v>
      </c>
      <c r="M238" s="355">
        <f t="shared" ref="M238:M250" si="6">L238/$L$252</f>
        <v>0.90662014314391115</v>
      </c>
      <c r="N238" s="332"/>
      <c r="O238" s="356"/>
      <c r="P238" s="5"/>
    </row>
    <row r="239" spans="1:17" ht="15.6" x14ac:dyDescent="0.3">
      <c r="A239" s="262"/>
      <c r="B239" s="264" t="s">
        <v>86</v>
      </c>
      <c r="C239" s="354"/>
      <c r="D239" s="354"/>
      <c r="E239" s="354"/>
      <c r="F239" s="354"/>
      <c r="G239" s="354"/>
      <c r="H239" s="354"/>
      <c r="I239" s="354"/>
      <c r="J239" s="264">
        <v>48</v>
      </c>
      <c r="K239" s="355">
        <f t="shared" si="5"/>
        <v>2.0270270270270271E-2</v>
      </c>
      <c r="L239" s="265">
        <v>2357</v>
      </c>
      <c r="M239" s="355">
        <f t="shared" si="6"/>
        <v>2.4771673900934325E-2</v>
      </c>
      <c r="N239" s="332"/>
      <c r="O239" s="356"/>
      <c r="P239" s="5"/>
      <c r="Q239" s="104"/>
    </row>
    <row r="240" spans="1:17" ht="15.6" x14ac:dyDescent="0.3">
      <c r="A240" s="262"/>
      <c r="B240" s="264" t="s">
        <v>87</v>
      </c>
      <c r="C240" s="354"/>
      <c r="D240" s="354"/>
      <c r="E240" s="354"/>
      <c r="F240" s="354"/>
      <c r="G240" s="354"/>
      <c r="H240" s="354"/>
      <c r="I240" s="354"/>
      <c r="J240" s="264">
        <v>21</v>
      </c>
      <c r="K240" s="355">
        <f t="shared" si="5"/>
        <v>8.8682432432432429E-3</v>
      </c>
      <c r="L240" s="265">
        <v>1072</v>
      </c>
      <c r="M240" s="355">
        <f t="shared" si="6"/>
        <v>1.1266539848027829E-2</v>
      </c>
      <c r="N240" s="332"/>
      <c r="O240" s="356"/>
      <c r="P240" s="5"/>
    </row>
    <row r="241" spans="1:17" ht="15.6" x14ac:dyDescent="0.3">
      <c r="A241" s="262"/>
      <c r="B241" s="264" t="s">
        <v>145</v>
      </c>
      <c r="C241" s="354"/>
      <c r="D241" s="354"/>
      <c r="E241" s="354"/>
      <c r="F241" s="354"/>
      <c r="G241" s="354"/>
      <c r="H241" s="354"/>
      <c r="I241" s="354"/>
      <c r="J241" s="264">
        <v>14</v>
      </c>
      <c r="K241" s="355">
        <f t="shared" si="5"/>
        <v>5.9121621621621625E-3</v>
      </c>
      <c r="L241" s="265">
        <v>736</v>
      </c>
      <c r="M241" s="355">
        <f t="shared" si="6"/>
        <v>7.7352363135713463E-3</v>
      </c>
      <c r="N241" s="332"/>
      <c r="O241" s="356"/>
      <c r="P241" s="5"/>
      <c r="Q241" s="104"/>
    </row>
    <row r="242" spans="1:17" ht="15.6" x14ac:dyDescent="0.3">
      <c r="A242" s="262"/>
      <c r="B242" s="264" t="s">
        <v>146</v>
      </c>
      <c r="C242" s="354"/>
      <c r="D242" s="354"/>
      <c r="E242" s="354"/>
      <c r="F242" s="354"/>
      <c r="G242" s="354"/>
      <c r="H242" s="354"/>
      <c r="I242" s="354"/>
      <c r="J242" s="264">
        <v>15</v>
      </c>
      <c r="K242" s="355">
        <f t="shared" si="5"/>
        <v>6.3344594594594598E-3</v>
      </c>
      <c r="L242" s="265">
        <v>921</v>
      </c>
      <c r="M242" s="355">
        <f t="shared" si="6"/>
        <v>9.67955522391197E-3</v>
      </c>
      <c r="N242" s="332"/>
      <c r="O242" s="356"/>
      <c r="P242" s="5"/>
    </row>
    <row r="243" spans="1:17" ht="15.6" x14ac:dyDescent="0.3">
      <c r="A243" s="262"/>
      <c r="B243" s="264" t="s">
        <v>147</v>
      </c>
      <c r="C243" s="354"/>
      <c r="D243" s="354"/>
      <c r="E243" s="354"/>
      <c r="F243" s="354"/>
      <c r="G243" s="354"/>
      <c r="H243" s="354"/>
      <c r="I243" s="354"/>
      <c r="J243" s="264">
        <v>16</v>
      </c>
      <c r="K243" s="355">
        <f t="shared" si="5"/>
        <v>6.7567567567567571E-3</v>
      </c>
      <c r="L243" s="265">
        <v>789</v>
      </c>
      <c r="M243" s="355">
        <f t="shared" si="6"/>
        <v>8.2922574068040652E-3</v>
      </c>
      <c r="N243" s="332"/>
      <c r="O243" s="356"/>
      <c r="P243" s="5"/>
      <c r="Q243" s="104"/>
    </row>
    <row r="244" spans="1:17" ht="15.6" x14ac:dyDescent="0.3">
      <c r="A244" s="262"/>
      <c r="B244" s="264" t="s">
        <v>227</v>
      </c>
      <c r="C244" s="354"/>
      <c r="D244" s="354"/>
      <c r="E244" s="354"/>
      <c r="F244" s="354"/>
      <c r="G244" s="354"/>
      <c r="H244" s="354"/>
      <c r="I244" s="354"/>
      <c r="J244" s="264">
        <v>18</v>
      </c>
      <c r="K244" s="355">
        <f t="shared" si="5"/>
        <v>7.6013513513513518E-3</v>
      </c>
      <c r="L244" s="265">
        <v>983</v>
      </c>
      <c r="M244" s="355">
        <f t="shared" si="6"/>
        <v>1.0331164804674773E-2</v>
      </c>
      <c r="N244" s="332"/>
      <c r="O244" s="356"/>
      <c r="P244" s="5"/>
    </row>
    <row r="245" spans="1:17" ht="15.6" x14ac:dyDescent="0.3">
      <c r="A245" s="262"/>
      <c r="B245" s="264" t="s">
        <v>228</v>
      </c>
      <c r="C245" s="354"/>
      <c r="D245" s="354"/>
      <c r="E245" s="354"/>
      <c r="F245" s="354"/>
      <c r="G245" s="354"/>
      <c r="H245" s="354"/>
      <c r="I245" s="354"/>
      <c r="J245" s="264">
        <v>7</v>
      </c>
      <c r="K245" s="355">
        <f t="shared" si="5"/>
        <v>2.9560810810810812E-3</v>
      </c>
      <c r="L245" s="265">
        <v>1201</v>
      </c>
      <c r="M245" s="355">
        <f t="shared" si="6"/>
        <v>1.2622308169292372E-2</v>
      </c>
      <c r="N245" s="332"/>
      <c r="O245" s="356"/>
      <c r="P245" s="5"/>
      <c r="Q245" s="104"/>
    </row>
    <row r="246" spans="1:17" ht="15.6" x14ac:dyDescent="0.3">
      <c r="A246" s="262"/>
      <c r="B246" s="264" t="s">
        <v>229</v>
      </c>
      <c r="C246" s="354"/>
      <c r="D246" s="354"/>
      <c r="E246" s="354"/>
      <c r="F246" s="354"/>
      <c r="G246" s="354"/>
      <c r="H246" s="354"/>
      <c r="I246" s="354"/>
      <c r="J246" s="264">
        <v>4</v>
      </c>
      <c r="K246" s="355">
        <f t="shared" si="5"/>
        <v>1.6891891891891893E-3</v>
      </c>
      <c r="L246" s="265">
        <v>335</v>
      </c>
      <c r="M246" s="355">
        <f t="shared" si="6"/>
        <v>3.520793702508697E-3</v>
      </c>
      <c r="N246" s="332"/>
      <c r="O246" s="356"/>
      <c r="P246" s="5"/>
      <c r="Q246" s="104"/>
    </row>
    <row r="247" spans="1:17" ht="15.6" x14ac:dyDescent="0.3">
      <c r="A247" s="262"/>
      <c r="B247" s="264" t="s">
        <v>230</v>
      </c>
      <c r="C247" s="354"/>
      <c r="D247" s="354"/>
      <c r="E247" s="354"/>
      <c r="F247" s="354"/>
      <c r="G247" s="354"/>
      <c r="H247" s="354"/>
      <c r="I247" s="354"/>
      <c r="J247" s="264">
        <v>2</v>
      </c>
      <c r="K247" s="355">
        <f t="shared" si="5"/>
        <v>8.4459459459459464E-4</v>
      </c>
      <c r="L247" s="265">
        <v>174</v>
      </c>
      <c r="M247" s="355">
        <f t="shared" si="6"/>
        <v>1.828710758914965E-3</v>
      </c>
      <c r="N247" s="332"/>
      <c r="O247" s="356"/>
      <c r="P247" s="5"/>
      <c r="Q247" s="104"/>
    </row>
    <row r="248" spans="1:17" ht="15.6" x14ac:dyDescent="0.3">
      <c r="A248" s="262"/>
      <c r="B248" s="264" t="s">
        <v>231</v>
      </c>
      <c r="C248" s="354"/>
      <c r="D248" s="354"/>
      <c r="E248" s="354"/>
      <c r="F248" s="354"/>
      <c r="G248" s="354"/>
      <c r="H248" s="354"/>
      <c r="I248" s="354"/>
      <c r="J248" s="264">
        <v>1</v>
      </c>
      <c r="K248" s="355">
        <f t="shared" si="5"/>
        <v>4.2229729729729732E-4</v>
      </c>
      <c r="L248" s="265">
        <v>36</v>
      </c>
      <c r="M248" s="355">
        <f t="shared" si="6"/>
        <v>3.7835395012033755E-4</v>
      </c>
      <c r="N248" s="332"/>
      <c r="O248" s="356"/>
      <c r="P248" s="5"/>
      <c r="Q248" s="104"/>
    </row>
    <row r="249" spans="1:17" ht="15.6" x14ac:dyDescent="0.3">
      <c r="A249" s="262"/>
      <c r="B249" s="264" t="s">
        <v>232</v>
      </c>
      <c r="C249" s="354"/>
      <c r="D249" s="354"/>
      <c r="E249" s="354"/>
      <c r="F249" s="354"/>
      <c r="G249" s="354"/>
      <c r="H249" s="354"/>
      <c r="I249" s="354"/>
      <c r="J249" s="264">
        <v>1</v>
      </c>
      <c r="K249" s="355">
        <f t="shared" si="5"/>
        <v>4.2229729729729732E-4</v>
      </c>
      <c r="L249" s="265">
        <v>94</v>
      </c>
      <c r="M249" s="355">
        <f t="shared" si="6"/>
        <v>9.8792420309199249E-4</v>
      </c>
      <c r="N249" s="332"/>
      <c r="O249" s="356"/>
      <c r="P249" s="5"/>
      <c r="Q249" s="104"/>
    </row>
    <row r="250" spans="1:17" ht="15.6" x14ac:dyDescent="0.3">
      <c r="A250" s="262"/>
      <c r="B250" s="264" t="s">
        <v>233</v>
      </c>
      <c r="C250" s="354"/>
      <c r="D250" s="354"/>
      <c r="E250" s="354"/>
      <c r="F250" s="354"/>
      <c r="G250" s="354"/>
      <c r="H250" s="354"/>
      <c r="I250" s="354"/>
      <c r="J250" s="264">
        <v>5</v>
      </c>
      <c r="K250" s="355">
        <f t="shared" si="5"/>
        <v>2.1114864864864866E-3</v>
      </c>
      <c r="L250" s="265">
        <v>187</v>
      </c>
      <c r="M250" s="355">
        <f t="shared" si="6"/>
        <v>1.9653385742361982E-3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2368</v>
      </c>
      <c r="K252" s="355">
        <f>SUM(K238:K251)</f>
        <v>0.99999999999999989</v>
      </c>
      <c r="L252" s="265">
        <f>SUM(L238:L251)</f>
        <v>95149</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1</v>
      </c>
      <c r="K278" s="355">
        <f t="shared" si="7"/>
        <v>0.33333333333333331</v>
      </c>
      <c r="L278" s="265">
        <v>20</v>
      </c>
      <c r="M278" s="355">
        <f t="shared" si="8"/>
        <v>0.27397260273972601</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1</v>
      </c>
      <c r="K280" s="355">
        <f t="shared" si="7"/>
        <v>0.33333333333333331</v>
      </c>
      <c r="L280" s="265">
        <v>30</v>
      </c>
      <c r="M280" s="355">
        <f t="shared" si="8"/>
        <v>0.41095890410958902</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1</v>
      </c>
      <c r="K283" s="355">
        <f t="shared" si="7"/>
        <v>0.33333333333333331</v>
      </c>
      <c r="L283" s="265">
        <v>23</v>
      </c>
      <c r="M283" s="355">
        <f t="shared" si="8"/>
        <v>0.31506849315068491</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3</v>
      </c>
      <c r="K286" s="355">
        <f>SUM(K272:K284)</f>
        <v>1</v>
      </c>
      <c r="L286" s="265">
        <f>SUM(L272:L284)</f>
        <v>73</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2371</v>
      </c>
      <c r="K288" s="355"/>
      <c r="L288" s="359">
        <f>+L286+L269+L252</f>
        <v>95222</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89</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239</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90</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AUGUST 2011</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honeticPr fontId="0" type="noConversion"/>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sheetPr>
  <dimension ref="A1:IV299"/>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5.7799999999999997E-2</v>
      </c>
      <c r="L16" s="232" t="s">
        <v>133</v>
      </c>
      <c r="M16" s="231">
        <v>0.94220000000000004</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40896</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152</v>
      </c>
      <c r="G25" s="386"/>
      <c r="H25" s="386" t="s">
        <v>135</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89508.060499999992</v>
      </c>
      <c r="E29" s="279"/>
      <c r="F29" s="279">
        <f>F28*F32</f>
        <v>2856.5735400000003</v>
      </c>
      <c r="G29" s="279"/>
      <c r="H29" s="279">
        <f>H28*H32</f>
        <v>2856.5735400000003</v>
      </c>
      <c r="I29" s="279"/>
      <c r="J29" s="284"/>
      <c r="K29" s="279"/>
      <c r="L29" s="279"/>
      <c r="M29" s="280"/>
      <c r="N29" s="279">
        <f>SUM(D29:H29)+1</f>
        <v>95222.207579999988</v>
      </c>
      <c r="O29" s="281"/>
      <c r="P29" s="5"/>
    </row>
    <row r="30" spans="1:16" ht="15.6" x14ac:dyDescent="0.3">
      <c r="A30" s="274"/>
      <c r="B30" s="275" t="s">
        <v>130</v>
      </c>
      <c r="C30" s="278"/>
      <c r="D30" s="285">
        <f>D28*D31</f>
        <v>83837.288100000005</v>
      </c>
      <c r="E30" s="285"/>
      <c r="F30" s="285">
        <f>F28*F31</f>
        <v>2675.5911900000001</v>
      </c>
      <c r="G30" s="285"/>
      <c r="H30" s="285">
        <f>H28*H31</f>
        <v>2675.5911900000001</v>
      </c>
      <c r="I30" s="285"/>
      <c r="J30" s="288"/>
      <c r="K30" s="279"/>
      <c r="L30" s="279"/>
      <c r="M30" s="280"/>
      <c r="N30" s="285">
        <f>SUM(D30:I30)+1</f>
        <v>89189.470480000018</v>
      </c>
      <c r="O30" s="281"/>
      <c r="P30" s="5"/>
    </row>
    <row r="31" spans="1:16" ht="15.6" x14ac:dyDescent="0.3">
      <c r="A31" s="262"/>
      <c r="B31" s="290" t="s">
        <v>126</v>
      </c>
      <c r="C31" s="291"/>
      <c r="D31" s="292">
        <v>0.32183220000000001</v>
      </c>
      <c r="E31" s="292"/>
      <c r="F31" s="292">
        <v>0.6606398</v>
      </c>
      <c r="G31" s="292"/>
      <c r="H31" s="292">
        <v>0.6606398</v>
      </c>
      <c r="I31" s="293"/>
      <c r="J31" s="293"/>
      <c r="K31" s="294"/>
      <c r="L31" s="294"/>
      <c r="M31" s="269"/>
      <c r="N31" s="269"/>
      <c r="O31" s="270"/>
      <c r="P31" s="5"/>
    </row>
    <row r="32" spans="1:16" ht="15.6" x14ac:dyDescent="0.3">
      <c r="A32" s="262"/>
      <c r="B32" s="290" t="s">
        <v>127</v>
      </c>
      <c r="C32" s="291"/>
      <c r="D32" s="292">
        <v>0.34360099999999999</v>
      </c>
      <c r="E32" s="292"/>
      <c r="F32" s="292">
        <v>0.70532680000000003</v>
      </c>
      <c r="G32" s="292"/>
      <c r="H32" s="292">
        <v>0.70532680000000003</v>
      </c>
      <c r="I32" s="293"/>
      <c r="J32" s="293"/>
      <c r="K32" s="295"/>
      <c r="L32" s="296"/>
      <c r="M32" s="269"/>
      <c r="N32" s="295"/>
      <c r="O32" s="270"/>
      <c r="P32" s="5"/>
    </row>
    <row r="33" spans="1:17" ht="15.6" x14ac:dyDescent="0.3">
      <c r="A33" s="274"/>
      <c r="B33" s="263" t="s">
        <v>9</v>
      </c>
      <c r="C33" s="263"/>
      <c r="D33" s="276" t="s">
        <v>192</v>
      </c>
      <c r="E33" s="276"/>
      <c r="F33" s="276" t="s">
        <v>194</v>
      </c>
      <c r="G33" s="276"/>
      <c r="H33" s="276" t="s">
        <v>196</v>
      </c>
      <c r="I33" s="276"/>
      <c r="J33" s="276"/>
      <c r="K33" s="297"/>
      <c r="L33" s="298"/>
      <c r="M33" s="268"/>
      <c r="N33" s="268"/>
      <c r="O33" s="266"/>
      <c r="P33" s="5"/>
    </row>
    <row r="34" spans="1:17" ht="15.6" x14ac:dyDescent="0.3">
      <c r="A34" s="274"/>
      <c r="B34" s="263" t="s">
        <v>10</v>
      </c>
      <c r="C34" s="263"/>
      <c r="D34" s="298">
        <v>1.0378099999999999E-2</v>
      </c>
      <c r="E34" s="297"/>
      <c r="F34" s="298">
        <v>1.0978099999999999E-2</v>
      </c>
      <c r="G34" s="297"/>
      <c r="H34" s="298">
        <v>1.19781E-2</v>
      </c>
      <c r="I34" s="297"/>
      <c r="J34" s="298"/>
      <c r="K34" s="297"/>
      <c r="L34" s="298"/>
      <c r="M34" s="268"/>
      <c r="N34" s="297">
        <f>SUMPRODUCT(D34:H34,D29:H29)/N29</f>
        <v>1.0443988870332365E-2</v>
      </c>
      <c r="O34" s="266"/>
      <c r="P34" s="5"/>
    </row>
    <row r="35" spans="1:17" ht="15.6" x14ac:dyDescent="0.3">
      <c r="A35" s="274"/>
      <c r="B35" s="263" t="s">
        <v>11</v>
      </c>
      <c r="C35" s="263"/>
      <c r="D35" s="298">
        <v>9.4438000000000005E-3</v>
      </c>
      <c r="E35" s="297"/>
      <c r="F35" s="298">
        <v>1.00438E-2</v>
      </c>
      <c r="G35" s="297"/>
      <c r="H35" s="298">
        <v>1.1043799999999999E-2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6.3828190310941127E-2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40892</v>
      </c>
      <c r="O45" s="266"/>
      <c r="P45" s="5"/>
    </row>
    <row r="46" spans="1:17" ht="15.6" x14ac:dyDescent="0.3">
      <c r="A46" s="274"/>
      <c r="B46" s="263" t="s">
        <v>119</v>
      </c>
      <c r="C46" s="263"/>
      <c r="D46" s="305"/>
      <c r="E46" s="305"/>
      <c r="F46" s="305"/>
      <c r="G46" s="305"/>
      <c r="H46" s="305"/>
      <c r="I46" s="305"/>
      <c r="J46" s="263">
        <f>+N46-L46+1</f>
        <v>92</v>
      </c>
      <c r="K46" s="305"/>
      <c r="L46" s="306">
        <v>40709</v>
      </c>
      <c r="M46" s="307"/>
      <c r="N46" s="306">
        <v>40800</v>
      </c>
      <c r="O46" s="266"/>
      <c r="P46" s="5"/>
    </row>
    <row r="47" spans="1:17" ht="15.6" x14ac:dyDescent="0.3">
      <c r="A47" s="274"/>
      <c r="B47" s="263" t="s">
        <v>120</v>
      </c>
      <c r="C47" s="263"/>
      <c r="D47" s="263"/>
      <c r="E47" s="263"/>
      <c r="F47" s="263"/>
      <c r="G47" s="263"/>
      <c r="H47" s="263"/>
      <c r="I47" s="263"/>
      <c r="J47" s="263">
        <f>+N47-L47+1</f>
        <v>91</v>
      </c>
      <c r="K47" s="263"/>
      <c r="L47" s="306">
        <v>40801</v>
      </c>
      <c r="M47" s="307"/>
      <c r="N47" s="306">
        <v>40891</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40878</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263</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95222</v>
      </c>
      <c r="G56" s="264"/>
      <c r="H56" s="264">
        <f>6033+1019+352</f>
        <v>7404</v>
      </c>
      <c r="I56" s="264"/>
      <c r="J56" s="264">
        <f>1019+352</f>
        <v>1371</v>
      </c>
      <c r="K56" s="264"/>
      <c r="L56" s="264">
        <v>0</v>
      </c>
      <c r="M56" s="264"/>
      <c r="N56" s="265">
        <f>+F56-H56+J56-L56</f>
        <v>89189</v>
      </c>
      <c r="O56" s="266"/>
      <c r="P56" s="5"/>
    </row>
    <row r="57" spans="1:16" ht="15.6" x14ac:dyDescent="0.3">
      <c r="A57" s="262"/>
      <c r="B57" s="263" t="s">
        <v>209</v>
      </c>
      <c r="C57" s="264"/>
      <c r="D57" s="264">
        <v>756</v>
      </c>
      <c r="E57" s="264"/>
      <c r="F57" s="265">
        <v>452</v>
      </c>
      <c r="G57" s="264"/>
      <c r="H57" s="264">
        <v>16</v>
      </c>
      <c r="I57" s="264"/>
      <c r="J57" s="264">
        <v>0</v>
      </c>
      <c r="K57" s="264"/>
      <c r="L57" s="264">
        <v>0</v>
      </c>
      <c r="M57" s="264"/>
      <c r="N57" s="265">
        <f>+F57-H57</f>
        <v>436</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95674</v>
      </c>
      <c r="G59" s="264"/>
      <c r="H59" s="264">
        <f>SUM(H56:H58)</f>
        <v>7420</v>
      </c>
      <c r="I59" s="264"/>
      <c r="J59" s="264">
        <f>SUM(J56:J58)</f>
        <v>1371</v>
      </c>
      <c r="K59" s="264"/>
      <c r="L59" s="264">
        <f>SUM(L56:L58)</f>
        <v>0</v>
      </c>
      <c r="M59" s="264"/>
      <c r="N59" s="264">
        <f>SUM(N56:N58)</f>
        <v>89625</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-452</v>
      </c>
      <c r="G68" s="264"/>
      <c r="H68" s="264"/>
      <c r="I68" s="264"/>
      <c r="J68" s="264"/>
      <c r="K68" s="264"/>
      <c r="L68" s="264"/>
      <c r="M68" s="264"/>
      <c r="N68" s="265">
        <f>-N57</f>
        <v>-436</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95222</v>
      </c>
      <c r="G72" s="264"/>
      <c r="H72" s="264"/>
      <c r="I72" s="264"/>
      <c r="J72" s="264"/>
      <c r="K72" s="264"/>
      <c r="L72" s="264"/>
      <c r="M72" s="264"/>
      <c r="N72" s="264">
        <f>SUM(N59:N71)</f>
        <v>89189</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40877</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7404+12</f>
        <v>7416</v>
      </c>
      <c r="M77" s="263"/>
      <c r="N77" s="265"/>
      <c r="O77" s="266"/>
      <c r="P77" s="5"/>
    </row>
    <row r="78" spans="1:16" ht="15.6" x14ac:dyDescent="0.3">
      <c r="A78" s="262"/>
      <c r="B78" s="263" t="s">
        <v>176</v>
      </c>
      <c r="C78" s="263"/>
      <c r="D78" s="300"/>
      <c r="E78" s="263"/>
      <c r="F78" s="309"/>
      <c r="G78" s="263"/>
      <c r="H78" s="263"/>
      <c r="I78" s="263"/>
      <c r="J78" s="263"/>
      <c r="K78" s="263"/>
      <c r="L78" s="264"/>
      <c r="M78" s="263"/>
      <c r="N78" s="265">
        <f>1985+129+2295-2501-67-1577</f>
        <v>264</v>
      </c>
      <c r="O78" s="266"/>
      <c r="P78" s="5"/>
    </row>
    <row r="79" spans="1:16" ht="15.6" x14ac:dyDescent="0.3">
      <c r="A79" s="262"/>
      <c r="B79" s="263" t="s">
        <v>174</v>
      </c>
      <c r="C79" s="263"/>
      <c r="D79" s="300"/>
      <c r="E79" s="263"/>
      <c r="F79" s="309"/>
      <c r="G79" s="263"/>
      <c r="H79" s="263"/>
      <c r="I79" s="263"/>
      <c r="J79" s="263"/>
      <c r="K79" s="263"/>
      <c r="L79" s="264"/>
      <c r="M79" s="263"/>
      <c r="N79" s="265">
        <f>30+1+40</f>
        <v>71</v>
      </c>
      <c r="O79" s="266"/>
      <c r="P79" s="5"/>
    </row>
    <row r="80" spans="1:16" ht="15.6" x14ac:dyDescent="0.3">
      <c r="A80" s="262"/>
      <c r="B80" s="263" t="s">
        <v>175</v>
      </c>
      <c r="C80" s="263"/>
      <c r="D80" s="300"/>
      <c r="E80" s="263"/>
      <c r="F80" s="309"/>
      <c r="G80" s="263"/>
      <c r="H80" s="263"/>
      <c r="I80" s="263"/>
      <c r="J80" s="263"/>
      <c r="K80" s="263"/>
      <c r="L80" s="264"/>
      <c r="M80" s="263"/>
      <c r="N80" s="265">
        <v>5</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7416</v>
      </c>
      <c r="M83" s="263"/>
      <c r="N83" s="264">
        <f>SUM(N76:N82)</f>
        <v>340</v>
      </c>
      <c r="O83" s="266"/>
      <c r="P83" s="5"/>
    </row>
    <row r="84" spans="1:17" ht="15.6" x14ac:dyDescent="0.3">
      <c r="A84" s="262"/>
      <c r="B84" s="263" t="s">
        <v>148</v>
      </c>
      <c r="C84" s="263"/>
      <c r="D84" s="263"/>
      <c r="E84" s="263"/>
      <c r="F84" s="263"/>
      <c r="G84" s="263"/>
      <c r="H84" s="263"/>
      <c r="I84" s="263"/>
      <c r="J84" s="263"/>
      <c r="K84" s="263"/>
      <c r="L84" s="264">
        <v>-1019</v>
      </c>
      <c r="M84" s="263"/>
      <c r="N84" s="264">
        <f>-L84</f>
        <v>1019</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6397</v>
      </c>
      <c r="M87" s="263"/>
      <c r="N87" s="264">
        <f>N83+N85+N84+N86</f>
        <v>1359</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-36-1-108</f>
        <v>-145</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-232</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-8</v>
      </c>
      <c r="O95" s="266"/>
      <c r="P95" s="5"/>
      <c r="Q95" s="104"/>
    </row>
    <row r="96" spans="1:17" ht="15.6" x14ac:dyDescent="0.3">
      <c r="A96" s="274" t="s">
        <v>170</v>
      </c>
      <c r="B96" s="263" t="s">
        <v>216</v>
      </c>
      <c r="C96" s="263"/>
      <c r="D96" s="263"/>
      <c r="E96" s="263"/>
      <c r="F96" s="263"/>
      <c r="G96" s="263"/>
      <c r="H96" s="263"/>
      <c r="I96" s="263"/>
      <c r="J96" s="263"/>
      <c r="K96" s="263"/>
      <c r="L96" s="263"/>
      <c r="M96" s="263"/>
      <c r="N96" s="265">
        <v>-9</v>
      </c>
      <c r="O96" s="266"/>
      <c r="P96" s="5"/>
      <c r="Q96" s="104"/>
    </row>
    <row r="97" spans="1:16" ht="15.6" x14ac:dyDescent="0.3">
      <c r="A97" s="274">
        <v>7</v>
      </c>
      <c r="B97" s="263" t="s">
        <v>33</v>
      </c>
      <c r="C97" s="263"/>
      <c r="D97" s="263"/>
      <c r="E97" s="263"/>
      <c r="F97" s="263"/>
      <c r="G97" s="263"/>
      <c r="H97" s="263"/>
      <c r="I97" s="263"/>
      <c r="J97" s="263"/>
      <c r="K97" s="263"/>
      <c r="L97" s="263"/>
      <c r="M97" s="263"/>
      <c r="N97" s="265">
        <v>-9</v>
      </c>
      <c r="O97" s="266"/>
      <c r="P97" s="5"/>
    </row>
    <row r="98" spans="1:16" ht="15.6" x14ac:dyDescent="0.3">
      <c r="A98" s="274">
        <f t="shared" ref="A98:A104" si="0">+A97+1</f>
        <v>8</v>
      </c>
      <c r="B98" s="263" t="s">
        <v>42</v>
      </c>
      <c r="C98" s="263"/>
      <c r="D98" s="263"/>
      <c r="E98" s="263"/>
      <c r="F98" s="263"/>
      <c r="G98" s="263"/>
      <c r="H98" s="263"/>
      <c r="I98" s="263"/>
      <c r="J98" s="263"/>
      <c r="K98" s="263"/>
      <c r="L98" s="264">
        <f>-N98</f>
        <v>-12</v>
      </c>
      <c r="M98" s="263"/>
      <c r="N98" s="265">
        <v>12</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-36</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-929</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-352</v>
      </c>
      <c r="M107" s="264"/>
      <c r="N107" s="265"/>
      <c r="O107" s="266"/>
      <c r="P107" s="5"/>
    </row>
    <row r="108" spans="1:16" ht="15.6" x14ac:dyDescent="0.3">
      <c r="A108" s="274"/>
      <c r="B108" s="263" t="s">
        <v>200</v>
      </c>
      <c r="C108" s="263"/>
      <c r="D108" s="263"/>
      <c r="E108" s="263"/>
      <c r="F108" s="263"/>
      <c r="G108" s="263"/>
      <c r="H108" s="263"/>
      <c r="I108" s="263"/>
      <c r="J108" s="263"/>
      <c r="K108" s="263"/>
      <c r="L108" s="264">
        <v>-5671</v>
      </c>
      <c r="M108" s="264"/>
      <c r="N108" s="265"/>
      <c r="O108" s="266"/>
      <c r="P108" s="5"/>
    </row>
    <row r="109" spans="1:16" ht="15.6" x14ac:dyDescent="0.3">
      <c r="A109" s="274"/>
      <c r="B109" s="263" t="s">
        <v>201</v>
      </c>
      <c r="C109" s="263"/>
      <c r="D109" s="263"/>
      <c r="E109" s="263"/>
      <c r="F109" s="263"/>
      <c r="G109" s="263"/>
      <c r="H109" s="263"/>
      <c r="I109" s="263"/>
      <c r="J109" s="263"/>
      <c r="K109" s="263"/>
      <c r="L109" s="264">
        <v>-181</v>
      </c>
      <c r="M109" s="264"/>
      <c r="N109" s="265"/>
      <c r="O109" s="266"/>
      <c r="P109" s="5"/>
    </row>
    <row r="110" spans="1:16" ht="15.6" x14ac:dyDescent="0.3">
      <c r="A110" s="274"/>
      <c r="B110" s="263" t="s">
        <v>202</v>
      </c>
      <c r="C110" s="263"/>
      <c r="D110" s="263"/>
      <c r="E110" s="263"/>
      <c r="F110" s="263"/>
      <c r="G110" s="263"/>
      <c r="H110" s="263"/>
      <c r="I110" s="263"/>
      <c r="J110" s="263"/>
      <c r="K110" s="263"/>
      <c r="L110" s="264">
        <v>-181</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-6385</v>
      </c>
      <c r="M111" s="264"/>
      <c r="N111" s="264">
        <f>SUM(N88:N109)</f>
        <v>-1359</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NOVEMBER 2011</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-12</v>
      </c>
      <c r="O144" s="266"/>
      <c r="P144" s="5"/>
    </row>
    <row r="145" spans="1:256" ht="15.6" x14ac:dyDescent="0.3">
      <c r="A145" s="262"/>
      <c r="B145" s="263" t="s">
        <v>51</v>
      </c>
      <c r="C145" s="263"/>
      <c r="D145" s="263"/>
      <c r="E145" s="263"/>
      <c r="F145" s="263"/>
      <c r="G145" s="263"/>
      <c r="H145" s="263"/>
      <c r="I145" s="263"/>
      <c r="J145" s="263"/>
      <c r="K145" s="263"/>
      <c r="L145" s="263"/>
      <c r="M145" s="263"/>
      <c r="N145" s="265">
        <f>+N143+N144</f>
        <v>-12</v>
      </c>
      <c r="O145" s="266"/>
      <c r="P145" s="5"/>
    </row>
    <row r="146" spans="1:256" ht="15.6" x14ac:dyDescent="0.3">
      <c r="A146" s="262"/>
      <c r="B146" s="263" t="s">
        <v>264</v>
      </c>
      <c r="C146" s="263"/>
      <c r="D146" s="263"/>
      <c r="E146" s="263"/>
      <c r="F146" s="263"/>
      <c r="G146" s="263"/>
      <c r="H146" s="263"/>
      <c r="I146" s="263"/>
      <c r="J146" s="263"/>
      <c r="K146" s="263"/>
      <c r="L146" s="263"/>
      <c r="M146" s="263"/>
      <c r="N146" s="265">
        <f>N98</f>
        <v>12</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89189</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89189</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+'Aug 11'!N161</f>
        <v>452</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16</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436</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+'Aug 11'!L168</f>
        <v>15315</v>
      </c>
      <c r="M166" s="263"/>
      <c r="N166" s="265">
        <f>K166+L166</f>
        <v>15315</v>
      </c>
      <c r="O166" s="266"/>
      <c r="P166" s="5"/>
    </row>
    <row r="167" spans="1:256" ht="15.6" x14ac:dyDescent="0.3">
      <c r="A167" s="262"/>
      <c r="B167" s="263" t="s">
        <v>58</v>
      </c>
      <c r="C167" s="263"/>
      <c r="D167" s="263"/>
      <c r="E167" s="263"/>
      <c r="F167" s="263"/>
      <c r="G167" s="263"/>
      <c r="H167" s="263"/>
      <c r="I167" s="263"/>
      <c r="J167" s="263"/>
      <c r="K167" s="264">
        <v>0</v>
      </c>
      <c r="L167" s="264">
        <f>-L107</f>
        <v>352</v>
      </c>
      <c r="M167" s="263"/>
      <c r="N167" s="265">
        <f>K167+L167</f>
        <v>352</v>
      </c>
      <c r="O167" s="266"/>
      <c r="P167" s="5"/>
    </row>
    <row r="168" spans="1:256" ht="15.6" x14ac:dyDescent="0.3">
      <c r="A168" s="262"/>
      <c r="B168" s="263" t="s">
        <v>59</v>
      </c>
      <c r="C168" s="263"/>
      <c r="D168" s="263"/>
      <c r="E168" s="263"/>
      <c r="F168" s="263"/>
      <c r="G168" s="263"/>
      <c r="H168" s="263"/>
      <c r="I168" s="263"/>
      <c r="J168" s="263"/>
      <c r="K168" s="265">
        <f>K166+K167</f>
        <v>0</v>
      </c>
      <c r="L168" s="265">
        <f>L167+L166</f>
        <v>15667</v>
      </c>
      <c r="M168" s="263"/>
      <c r="N168" s="265">
        <f>K168+L168</f>
        <v>15667</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5.2241379310344831</v>
      </c>
      <c r="O173" s="266" t="s">
        <v>115</v>
      </c>
      <c r="P173" s="5"/>
    </row>
    <row r="174" spans="1:256" ht="15.6" x14ac:dyDescent="0.3">
      <c r="A174" s="262"/>
      <c r="B174" s="263" t="s">
        <v>63</v>
      </c>
      <c r="C174" s="263"/>
      <c r="D174" s="263"/>
      <c r="E174" s="263"/>
      <c r="F174" s="263"/>
      <c r="G174" s="263"/>
      <c r="H174" s="263"/>
      <c r="I174" s="263"/>
      <c r="J174" s="263"/>
      <c r="K174" s="263"/>
      <c r="L174" s="263"/>
      <c r="M174" s="263"/>
      <c r="N174" s="315">
        <v>1.92</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122.5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41.68</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108</v>
      </c>
      <c r="O177" s="266" t="s">
        <v>115</v>
      </c>
      <c r="P177" s="5"/>
    </row>
    <row r="178" spans="1:16" ht="15.6" x14ac:dyDescent="0.3">
      <c r="A178" s="262"/>
      <c r="B178" s="263" t="s">
        <v>167</v>
      </c>
      <c r="C178" s="263"/>
      <c r="D178" s="263"/>
      <c r="E178" s="263"/>
      <c r="F178" s="263"/>
      <c r="G178" s="263"/>
      <c r="H178" s="263"/>
      <c r="I178" s="263"/>
      <c r="J178" s="263"/>
      <c r="K178" s="263"/>
      <c r="L178" s="263"/>
      <c r="M178" s="263"/>
      <c r="N178" s="315">
        <v>39.46</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NOVEMBER 2011</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40877</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5.3220000000000003E-2</v>
      </c>
      <c r="M188" s="263"/>
      <c r="N188" s="263"/>
      <c r="O188" s="266"/>
      <c r="P188" s="5"/>
    </row>
    <row r="189" spans="1:16" ht="15.6" x14ac:dyDescent="0.3">
      <c r="A189" s="321"/>
      <c r="B189" s="263" t="s">
        <v>212</v>
      </c>
      <c r="C189" s="322"/>
      <c r="D189" s="303"/>
      <c r="E189" s="303"/>
      <c r="F189" s="303"/>
      <c r="G189" s="303"/>
      <c r="H189" s="303"/>
      <c r="I189" s="303"/>
      <c r="J189" s="303"/>
      <c r="K189" s="303"/>
      <c r="L189" s="297">
        <f>N34</f>
        <v>1.0443988870332365E-2</v>
      </c>
      <c r="M189" s="263"/>
      <c r="N189" s="263"/>
      <c r="O189" s="266"/>
      <c r="P189" s="5"/>
    </row>
    <row r="190" spans="1:16" ht="15.6" x14ac:dyDescent="0.3">
      <c r="A190" s="321"/>
      <c r="B190" s="263" t="s">
        <v>70</v>
      </c>
      <c r="C190" s="322"/>
      <c r="D190" s="303"/>
      <c r="E190" s="303"/>
      <c r="F190" s="303"/>
      <c r="G190" s="303"/>
      <c r="H190" s="303"/>
      <c r="I190" s="303"/>
      <c r="J190" s="303"/>
      <c r="K190" s="303"/>
      <c r="L190" s="297">
        <f>L188-L189</f>
        <v>4.277601112966764E-2</v>
      </c>
      <c r="M190" s="263"/>
      <c r="N190" s="263"/>
      <c r="O190" s="266"/>
      <c r="P190" s="5"/>
    </row>
    <row r="191" spans="1:16" ht="15.6" x14ac:dyDescent="0.3">
      <c r="A191" s="321"/>
      <c r="B191" s="263" t="s">
        <v>203</v>
      </c>
      <c r="C191" s="322"/>
      <c r="D191" s="303"/>
      <c r="E191" s="303"/>
      <c r="F191" s="303"/>
      <c r="G191" s="303"/>
      <c r="H191" s="303"/>
      <c r="I191" s="303"/>
      <c r="J191" s="303"/>
      <c r="K191" s="303"/>
      <c r="L191" s="297">
        <f>+N87/F59</f>
        <v>1.4204486067270105E-2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5.37</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7.7755140618764568E-2</v>
      </c>
      <c r="M197" s="263"/>
      <c r="N197" s="263"/>
      <c r="O197" s="266"/>
      <c r="P197" s="5"/>
    </row>
    <row r="198" spans="1:16" ht="15.6" x14ac:dyDescent="0.3">
      <c r="A198" s="321"/>
      <c r="B198" s="263" t="s">
        <v>74</v>
      </c>
      <c r="C198" s="322"/>
      <c r="D198" s="303"/>
      <c r="E198" s="303"/>
      <c r="F198" s="303"/>
      <c r="G198" s="303"/>
      <c r="H198" s="303"/>
      <c r="I198" s="303"/>
      <c r="J198" s="303"/>
      <c r="K198" s="303"/>
      <c r="L198" s="297">
        <v>0.26069999999999999</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29</v>
      </c>
      <c r="L201" s="331">
        <v>1765</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3</v>
      </c>
      <c r="L203" s="331">
        <f>+L286</f>
        <v>73</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-12</v>
      </c>
      <c r="M207" s="291"/>
      <c r="N207" s="337"/>
      <c r="O207" s="342"/>
      <c r="P207" s="5"/>
    </row>
    <row r="208" spans="1:16" ht="15.6" x14ac:dyDescent="0.3">
      <c r="A208" s="330"/>
      <c r="B208" s="263" t="s">
        <v>82</v>
      </c>
      <c r="C208" s="264"/>
      <c r="D208" s="263"/>
      <c r="E208" s="263"/>
      <c r="F208" s="263"/>
      <c r="G208" s="263"/>
      <c r="H208" s="263"/>
      <c r="I208" s="263"/>
      <c r="J208" s="263"/>
      <c r="K208" s="276"/>
      <c r="L208" s="331">
        <f>'Aug 11'!L208+L207</f>
        <v>37</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2080</v>
      </c>
      <c r="K221" s="355">
        <f t="shared" ref="K221:K233" si="2">J221/$J$235</f>
        <v>0.94117647058823528</v>
      </c>
      <c r="L221" s="265">
        <f t="shared" ref="L221:L233" si="3">+L238+L255+L272</f>
        <v>81142</v>
      </c>
      <c r="M221" s="355">
        <f t="shared" ref="M221:M233" si="4">L221/$L$235</f>
        <v>0.90977586922154075</v>
      </c>
      <c r="N221" s="332"/>
      <c r="O221" s="356"/>
      <c r="P221" s="5"/>
    </row>
    <row r="222" spans="1:17" ht="15.6" x14ac:dyDescent="0.3">
      <c r="A222" s="262"/>
      <c r="B222" s="264" t="s">
        <v>86</v>
      </c>
      <c r="C222" s="354"/>
      <c r="D222" s="354"/>
      <c r="E222" s="354"/>
      <c r="F222" s="354"/>
      <c r="G222" s="354"/>
      <c r="H222" s="354"/>
      <c r="I222" s="354"/>
      <c r="J222" s="264">
        <f t="shared" si="1"/>
        <v>35</v>
      </c>
      <c r="K222" s="355">
        <f t="shared" si="2"/>
        <v>1.5837104072398189E-2</v>
      </c>
      <c r="L222" s="265">
        <f t="shared" si="3"/>
        <v>2029</v>
      </c>
      <c r="M222" s="355">
        <f t="shared" si="4"/>
        <v>2.2749442195786476E-2</v>
      </c>
      <c r="N222" s="332"/>
      <c r="O222" s="356"/>
      <c r="P222" s="5"/>
      <c r="Q222" s="104"/>
    </row>
    <row r="223" spans="1:17" ht="15.6" x14ac:dyDescent="0.3">
      <c r="A223" s="262"/>
      <c r="B223" s="264" t="s">
        <v>87</v>
      </c>
      <c r="C223" s="354"/>
      <c r="D223" s="354"/>
      <c r="E223" s="354"/>
      <c r="F223" s="354"/>
      <c r="G223" s="354"/>
      <c r="H223" s="354"/>
      <c r="I223" s="354"/>
      <c r="J223" s="264">
        <f t="shared" si="1"/>
        <v>21</v>
      </c>
      <c r="K223" s="355">
        <f t="shared" si="2"/>
        <v>9.5022624434389132E-3</v>
      </c>
      <c r="L223" s="265">
        <f t="shared" si="3"/>
        <v>1305</v>
      </c>
      <c r="M223" s="355">
        <f t="shared" si="4"/>
        <v>1.4631849219074101E-2</v>
      </c>
      <c r="N223" s="332"/>
      <c r="O223" s="356"/>
      <c r="P223" s="5"/>
    </row>
    <row r="224" spans="1:17" ht="15.6" x14ac:dyDescent="0.3">
      <c r="A224" s="262"/>
      <c r="B224" s="264" t="s">
        <v>145</v>
      </c>
      <c r="C224" s="354"/>
      <c r="D224" s="354"/>
      <c r="E224" s="354"/>
      <c r="F224" s="354"/>
      <c r="G224" s="354"/>
      <c r="H224" s="354"/>
      <c r="I224" s="354"/>
      <c r="J224" s="264">
        <f t="shared" si="1"/>
        <v>12</v>
      </c>
      <c r="K224" s="355">
        <f t="shared" si="2"/>
        <v>5.4298642533936649E-3</v>
      </c>
      <c r="L224" s="265">
        <f t="shared" si="3"/>
        <v>500</v>
      </c>
      <c r="M224" s="355">
        <f t="shared" si="4"/>
        <v>5.6060724977295409E-3</v>
      </c>
      <c r="N224" s="332"/>
      <c r="O224" s="356"/>
      <c r="P224" s="5"/>
      <c r="Q224" s="104"/>
    </row>
    <row r="225" spans="1:17" ht="15.6" x14ac:dyDescent="0.3">
      <c r="A225" s="262"/>
      <c r="B225" s="264" t="s">
        <v>146</v>
      </c>
      <c r="C225" s="354"/>
      <c r="D225" s="354"/>
      <c r="E225" s="354"/>
      <c r="F225" s="354"/>
      <c r="G225" s="354"/>
      <c r="H225" s="354"/>
      <c r="I225" s="354"/>
      <c r="J225" s="264">
        <f t="shared" si="1"/>
        <v>13</v>
      </c>
      <c r="K225" s="355">
        <f t="shared" si="2"/>
        <v>5.8823529411764705E-3</v>
      </c>
      <c r="L225" s="265">
        <f t="shared" si="3"/>
        <v>646</v>
      </c>
      <c r="M225" s="355">
        <f t="shared" si="4"/>
        <v>7.2430456670665661E-3</v>
      </c>
      <c r="N225" s="332"/>
      <c r="O225" s="356"/>
      <c r="P225" s="5"/>
    </row>
    <row r="226" spans="1:17" ht="15.6" x14ac:dyDescent="0.3">
      <c r="A226" s="262"/>
      <c r="B226" s="264" t="s">
        <v>147</v>
      </c>
      <c r="C226" s="354"/>
      <c r="D226" s="354"/>
      <c r="E226" s="354"/>
      <c r="F226" s="354"/>
      <c r="G226" s="354"/>
      <c r="H226" s="354"/>
      <c r="I226" s="354"/>
      <c r="J226" s="264">
        <f t="shared" si="1"/>
        <v>13</v>
      </c>
      <c r="K226" s="355">
        <f t="shared" si="2"/>
        <v>5.8823529411764705E-3</v>
      </c>
      <c r="L226" s="265">
        <f t="shared" si="3"/>
        <v>752</v>
      </c>
      <c r="M226" s="355">
        <f t="shared" si="4"/>
        <v>8.4315330365852294E-3</v>
      </c>
      <c r="N226" s="332"/>
      <c r="O226" s="356"/>
      <c r="P226" s="5"/>
      <c r="Q226" s="104"/>
    </row>
    <row r="227" spans="1:17" ht="15.6" x14ac:dyDescent="0.3">
      <c r="A227" s="262"/>
      <c r="B227" s="264" t="s">
        <v>227</v>
      </c>
      <c r="C227" s="354"/>
      <c r="D227" s="354"/>
      <c r="E227" s="354"/>
      <c r="F227" s="354"/>
      <c r="G227" s="354"/>
      <c r="H227" s="354"/>
      <c r="I227" s="354"/>
      <c r="J227" s="264">
        <f t="shared" si="1"/>
        <v>15</v>
      </c>
      <c r="K227" s="355">
        <f t="shared" si="2"/>
        <v>6.7873303167420816E-3</v>
      </c>
      <c r="L227" s="265">
        <f t="shared" si="3"/>
        <v>811</v>
      </c>
      <c r="M227" s="355">
        <f t="shared" si="4"/>
        <v>9.0930495913173152E-3</v>
      </c>
      <c r="N227" s="332"/>
      <c r="O227" s="356"/>
      <c r="P227" s="5"/>
    </row>
    <row r="228" spans="1:17" ht="15.6" x14ac:dyDescent="0.3">
      <c r="A228" s="262"/>
      <c r="B228" s="264" t="s">
        <v>228</v>
      </c>
      <c r="C228" s="354"/>
      <c r="D228" s="354"/>
      <c r="E228" s="354"/>
      <c r="F228" s="354"/>
      <c r="G228" s="354"/>
      <c r="H228" s="354"/>
      <c r="I228" s="354"/>
      <c r="J228" s="264">
        <f t="shared" si="1"/>
        <v>8</v>
      </c>
      <c r="K228" s="355">
        <f t="shared" si="2"/>
        <v>3.6199095022624436E-3</v>
      </c>
      <c r="L228" s="265">
        <f t="shared" si="3"/>
        <v>1262</v>
      </c>
      <c r="M228" s="355">
        <f t="shared" si="4"/>
        <v>1.414972698426936E-2</v>
      </c>
      <c r="N228" s="332"/>
      <c r="O228" s="356"/>
      <c r="P228" s="5"/>
      <c r="Q228" s="104"/>
    </row>
    <row r="229" spans="1:17" ht="15.6" x14ac:dyDescent="0.3">
      <c r="A229" s="262"/>
      <c r="B229" s="264" t="s">
        <v>229</v>
      </c>
      <c r="C229" s="354"/>
      <c r="D229" s="354"/>
      <c r="E229" s="354"/>
      <c r="F229" s="354"/>
      <c r="G229" s="354"/>
      <c r="H229" s="354"/>
      <c r="I229" s="354"/>
      <c r="J229" s="264">
        <f t="shared" si="1"/>
        <v>3</v>
      </c>
      <c r="K229" s="355">
        <f t="shared" si="2"/>
        <v>1.3574660633484162E-3</v>
      </c>
      <c r="L229" s="265">
        <f t="shared" si="3"/>
        <v>165</v>
      </c>
      <c r="M229" s="355">
        <f t="shared" si="4"/>
        <v>1.8500039242507484E-3</v>
      </c>
      <c r="N229" s="332"/>
      <c r="O229" s="356"/>
      <c r="P229" s="5"/>
      <c r="Q229" s="104"/>
    </row>
    <row r="230" spans="1:17" ht="15.6" x14ac:dyDescent="0.3">
      <c r="A230" s="262"/>
      <c r="B230" s="264" t="s">
        <v>230</v>
      </c>
      <c r="C230" s="354"/>
      <c r="D230" s="354"/>
      <c r="E230" s="354"/>
      <c r="F230" s="354"/>
      <c r="G230" s="354"/>
      <c r="H230" s="354"/>
      <c r="I230" s="354"/>
      <c r="J230" s="264">
        <f t="shared" si="1"/>
        <v>3</v>
      </c>
      <c r="K230" s="355">
        <f t="shared" si="2"/>
        <v>1.3574660633484162E-3</v>
      </c>
      <c r="L230" s="265">
        <f t="shared" si="3"/>
        <v>333</v>
      </c>
      <c r="M230" s="355">
        <f t="shared" si="4"/>
        <v>3.7336442834878742E-3</v>
      </c>
      <c r="N230" s="332"/>
      <c r="O230" s="356"/>
      <c r="P230" s="5"/>
      <c r="Q230" s="104"/>
    </row>
    <row r="231" spans="1:17" ht="15.6" x14ac:dyDescent="0.3">
      <c r="A231" s="262"/>
      <c r="B231" s="264" t="s">
        <v>231</v>
      </c>
      <c r="C231" s="354"/>
      <c r="D231" s="354"/>
      <c r="E231" s="354"/>
      <c r="F231" s="354"/>
      <c r="G231" s="354"/>
      <c r="H231" s="354"/>
      <c r="I231" s="354"/>
      <c r="J231" s="264">
        <f t="shared" si="1"/>
        <v>0</v>
      </c>
      <c r="K231" s="355">
        <f t="shared" si="2"/>
        <v>0</v>
      </c>
      <c r="L231" s="265">
        <f t="shared" si="3"/>
        <v>0</v>
      </c>
      <c r="M231" s="355">
        <f t="shared" si="4"/>
        <v>0</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4.5248868778280545E-4</v>
      </c>
      <c r="L232" s="265">
        <f t="shared" si="3"/>
        <v>36</v>
      </c>
      <c r="M232" s="355">
        <f t="shared" si="4"/>
        <v>4.0363721983652695E-4</v>
      </c>
      <c r="N232" s="332"/>
      <c r="O232" s="356"/>
      <c r="P232" s="5"/>
      <c r="Q232" s="104"/>
    </row>
    <row r="233" spans="1:17" ht="15.6" x14ac:dyDescent="0.3">
      <c r="A233" s="262"/>
      <c r="B233" s="264" t="s">
        <v>233</v>
      </c>
      <c r="C233" s="354"/>
      <c r="D233" s="354"/>
      <c r="E233" s="354"/>
      <c r="F233" s="354"/>
      <c r="G233" s="354"/>
      <c r="H233" s="354"/>
      <c r="I233" s="354"/>
      <c r="J233" s="264">
        <f t="shared" si="1"/>
        <v>6</v>
      </c>
      <c r="K233" s="355">
        <f t="shared" si="2"/>
        <v>2.7149321266968325E-3</v>
      </c>
      <c r="L233" s="265">
        <f t="shared" si="3"/>
        <v>208</v>
      </c>
      <c r="M233" s="355">
        <f t="shared" si="4"/>
        <v>2.3321261590554887E-3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2210</v>
      </c>
      <c r="K235" s="355">
        <f>SUM(K221:K234)</f>
        <v>0.99999999999999978</v>
      </c>
      <c r="L235" s="265">
        <f>SUM(L221:L234)</f>
        <v>89189</v>
      </c>
      <c r="M235" s="355">
        <f>SUM(M221:M234)</f>
        <v>0.99999999999999989</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2080</v>
      </c>
      <c r="K238" s="355">
        <f t="shared" ref="K238:K250" si="5">J238/$J$252</f>
        <v>0.94245582238332581</v>
      </c>
      <c r="L238" s="265">
        <v>81142</v>
      </c>
      <c r="M238" s="355">
        <f t="shared" ref="M238:M250" si="6">L238/$L$252</f>
        <v>0.91052111854212492</v>
      </c>
      <c r="N238" s="332"/>
      <c r="O238" s="356"/>
      <c r="P238" s="5"/>
    </row>
    <row r="239" spans="1:17" ht="15.6" x14ac:dyDescent="0.3">
      <c r="A239" s="262"/>
      <c r="B239" s="264" t="s">
        <v>86</v>
      </c>
      <c r="C239" s="354"/>
      <c r="D239" s="354"/>
      <c r="E239" s="354"/>
      <c r="F239" s="354"/>
      <c r="G239" s="354"/>
      <c r="H239" s="354"/>
      <c r="I239" s="354"/>
      <c r="J239" s="264">
        <v>35</v>
      </c>
      <c r="K239" s="355">
        <f t="shared" si="5"/>
        <v>1.58586316266425E-2</v>
      </c>
      <c r="L239" s="265">
        <v>2029</v>
      </c>
      <c r="M239" s="355">
        <f t="shared" si="6"/>
        <v>2.2768077561829525E-2</v>
      </c>
      <c r="N239" s="332"/>
      <c r="O239" s="356"/>
      <c r="P239" s="5"/>
      <c r="Q239" s="104"/>
    </row>
    <row r="240" spans="1:17" ht="15.6" x14ac:dyDescent="0.3">
      <c r="A240" s="262"/>
      <c r="B240" s="264" t="s">
        <v>87</v>
      </c>
      <c r="C240" s="354"/>
      <c r="D240" s="354"/>
      <c r="E240" s="354"/>
      <c r="F240" s="354"/>
      <c r="G240" s="354"/>
      <c r="H240" s="354"/>
      <c r="I240" s="354"/>
      <c r="J240" s="264">
        <v>21</v>
      </c>
      <c r="K240" s="355">
        <f t="shared" si="5"/>
        <v>9.5151789759854999E-3</v>
      </c>
      <c r="L240" s="265">
        <v>1305</v>
      </c>
      <c r="M240" s="355">
        <f t="shared" si="6"/>
        <v>1.4643835001570986E-2</v>
      </c>
      <c r="N240" s="332"/>
      <c r="O240" s="356"/>
      <c r="P240" s="5"/>
    </row>
    <row r="241" spans="1:17" ht="15.6" x14ac:dyDescent="0.3">
      <c r="A241" s="262"/>
      <c r="B241" s="264" t="s">
        <v>145</v>
      </c>
      <c r="C241" s="354"/>
      <c r="D241" s="354"/>
      <c r="E241" s="354"/>
      <c r="F241" s="354"/>
      <c r="G241" s="354"/>
      <c r="H241" s="354"/>
      <c r="I241" s="354"/>
      <c r="J241" s="264">
        <v>12</v>
      </c>
      <c r="K241" s="355">
        <f t="shared" si="5"/>
        <v>5.4372451291345722E-3</v>
      </c>
      <c r="L241" s="265">
        <v>500</v>
      </c>
      <c r="M241" s="355">
        <f t="shared" si="6"/>
        <v>5.6106647515597645E-3</v>
      </c>
      <c r="N241" s="332"/>
      <c r="O241" s="356"/>
      <c r="P241" s="5"/>
      <c r="Q241" s="104"/>
    </row>
    <row r="242" spans="1:17" ht="15.6" x14ac:dyDescent="0.3">
      <c r="A242" s="262"/>
      <c r="B242" s="264" t="s">
        <v>146</v>
      </c>
      <c r="C242" s="354"/>
      <c r="D242" s="354"/>
      <c r="E242" s="354"/>
      <c r="F242" s="354"/>
      <c r="G242" s="354"/>
      <c r="H242" s="354"/>
      <c r="I242" s="354"/>
      <c r="J242" s="264">
        <v>13</v>
      </c>
      <c r="K242" s="355">
        <f t="shared" si="5"/>
        <v>5.8903488898957865E-3</v>
      </c>
      <c r="L242" s="265">
        <v>646</v>
      </c>
      <c r="M242" s="355">
        <f t="shared" si="6"/>
        <v>7.2489788590152163E-3</v>
      </c>
      <c r="N242" s="332"/>
      <c r="O242" s="356"/>
      <c r="P242" s="5"/>
    </row>
    <row r="243" spans="1:17" ht="15.6" x14ac:dyDescent="0.3">
      <c r="A243" s="262"/>
      <c r="B243" s="264" t="s">
        <v>147</v>
      </c>
      <c r="C243" s="354"/>
      <c r="D243" s="354"/>
      <c r="E243" s="354"/>
      <c r="F243" s="354"/>
      <c r="G243" s="354"/>
      <c r="H243" s="354"/>
      <c r="I243" s="354"/>
      <c r="J243" s="264">
        <v>13</v>
      </c>
      <c r="K243" s="355">
        <f t="shared" si="5"/>
        <v>5.8903488898957865E-3</v>
      </c>
      <c r="L243" s="265">
        <v>752</v>
      </c>
      <c r="M243" s="355">
        <f t="shared" si="6"/>
        <v>8.4384397863458867E-3</v>
      </c>
      <c r="N243" s="332"/>
      <c r="O243" s="356"/>
      <c r="P243" s="5"/>
      <c r="Q243" s="104"/>
    </row>
    <row r="244" spans="1:17" ht="15.6" x14ac:dyDescent="0.3">
      <c r="A244" s="262"/>
      <c r="B244" s="264" t="s">
        <v>227</v>
      </c>
      <c r="C244" s="354"/>
      <c r="D244" s="354"/>
      <c r="E244" s="354"/>
      <c r="F244" s="354"/>
      <c r="G244" s="354"/>
      <c r="H244" s="354"/>
      <c r="I244" s="354"/>
      <c r="J244" s="264">
        <v>15</v>
      </c>
      <c r="K244" s="355">
        <f t="shared" si="5"/>
        <v>6.7965564114182151E-3</v>
      </c>
      <c r="L244" s="265">
        <v>811</v>
      </c>
      <c r="M244" s="355">
        <f t="shared" si="6"/>
        <v>9.1004982270299385E-3</v>
      </c>
      <c r="N244" s="332"/>
      <c r="O244" s="356"/>
      <c r="P244" s="5"/>
    </row>
    <row r="245" spans="1:17" ht="15.6" x14ac:dyDescent="0.3">
      <c r="A245" s="262"/>
      <c r="B245" s="264" t="s">
        <v>228</v>
      </c>
      <c r="C245" s="354"/>
      <c r="D245" s="354"/>
      <c r="E245" s="354"/>
      <c r="F245" s="354"/>
      <c r="G245" s="354"/>
      <c r="H245" s="354"/>
      <c r="I245" s="354"/>
      <c r="J245" s="264">
        <v>7</v>
      </c>
      <c r="K245" s="355">
        <f t="shared" si="5"/>
        <v>3.1717263253285004E-3</v>
      </c>
      <c r="L245" s="265">
        <v>1242</v>
      </c>
      <c r="M245" s="355">
        <f t="shared" si="6"/>
        <v>1.3936891242874457E-2</v>
      </c>
      <c r="N245" s="332"/>
      <c r="O245" s="356"/>
      <c r="P245" s="5"/>
      <c r="Q245" s="104"/>
    </row>
    <row r="246" spans="1:17" ht="15.6" x14ac:dyDescent="0.3">
      <c r="A246" s="262"/>
      <c r="B246" s="264" t="s">
        <v>229</v>
      </c>
      <c r="C246" s="354"/>
      <c r="D246" s="354"/>
      <c r="E246" s="354"/>
      <c r="F246" s="354"/>
      <c r="G246" s="354"/>
      <c r="H246" s="354"/>
      <c r="I246" s="354"/>
      <c r="J246" s="264">
        <v>2</v>
      </c>
      <c r="K246" s="355">
        <f t="shared" si="5"/>
        <v>9.0620752152242867E-4</v>
      </c>
      <c r="L246" s="265">
        <v>135</v>
      </c>
      <c r="M246" s="355">
        <f t="shared" si="6"/>
        <v>1.5148794829211365E-3</v>
      </c>
      <c r="N246" s="332"/>
      <c r="O246" s="356"/>
      <c r="P246" s="5"/>
      <c r="Q246" s="104"/>
    </row>
    <row r="247" spans="1:17" ht="15.6" x14ac:dyDescent="0.3">
      <c r="A247" s="262"/>
      <c r="B247" s="264" t="s">
        <v>230</v>
      </c>
      <c r="C247" s="354"/>
      <c r="D247" s="354"/>
      <c r="E247" s="354"/>
      <c r="F247" s="354"/>
      <c r="G247" s="354"/>
      <c r="H247" s="354"/>
      <c r="I247" s="354"/>
      <c r="J247" s="264">
        <v>3</v>
      </c>
      <c r="K247" s="355">
        <f t="shared" si="5"/>
        <v>1.3593112822836431E-3</v>
      </c>
      <c r="L247" s="265">
        <v>333</v>
      </c>
      <c r="M247" s="355">
        <f t="shared" si="6"/>
        <v>3.7367027245388033E-3</v>
      </c>
      <c r="N247" s="332"/>
      <c r="O247" s="356"/>
      <c r="P247" s="5"/>
      <c r="Q247" s="104"/>
    </row>
    <row r="248" spans="1:17" ht="15.6" x14ac:dyDescent="0.3">
      <c r="A248" s="262"/>
      <c r="B248" s="264" t="s">
        <v>231</v>
      </c>
      <c r="C248" s="354"/>
      <c r="D248" s="354"/>
      <c r="E248" s="354"/>
      <c r="F248" s="354"/>
      <c r="G248" s="354"/>
      <c r="H248" s="354"/>
      <c r="I248" s="354"/>
      <c r="J248" s="264">
        <v>0</v>
      </c>
      <c r="K248" s="355">
        <f t="shared" si="5"/>
        <v>0</v>
      </c>
      <c r="L248" s="265">
        <v>0</v>
      </c>
      <c r="M248" s="355">
        <f t="shared" si="6"/>
        <v>0</v>
      </c>
      <c r="N248" s="332"/>
      <c r="O248" s="356"/>
      <c r="P248" s="5"/>
      <c r="Q248" s="104"/>
    </row>
    <row r="249" spans="1:17" ht="15.6" x14ac:dyDescent="0.3">
      <c r="A249" s="262"/>
      <c r="B249" s="264" t="s">
        <v>232</v>
      </c>
      <c r="C249" s="354"/>
      <c r="D249" s="354"/>
      <c r="E249" s="354"/>
      <c r="F249" s="354"/>
      <c r="G249" s="354"/>
      <c r="H249" s="354"/>
      <c r="I249" s="354"/>
      <c r="J249" s="264">
        <v>1</v>
      </c>
      <c r="K249" s="355">
        <f t="shared" si="5"/>
        <v>4.5310376076121433E-4</v>
      </c>
      <c r="L249" s="265">
        <v>36</v>
      </c>
      <c r="M249" s="355">
        <f t="shared" si="6"/>
        <v>4.0396786211230307E-4</v>
      </c>
      <c r="N249" s="332"/>
      <c r="O249" s="356"/>
      <c r="P249" s="5"/>
      <c r="Q249" s="104"/>
    </row>
    <row r="250" spans="1:17" ht="15.6" x14ac:dyDescent="0.3">
      <c r="A250" s="262"/>
      <c r="B250" s="264" t="s">
        <v>233</v>
      </c>
      <c r="C250" s="354"/>
      <c r="D250" s="354"/>
      <c r="E250" s="354"/>
      <c r="F250" s="354"/>
      <c r="G250" s="354"/>
      <c r="H250" s="354"/>
      <c r="I250" s="354"/>
      <c r="J250" s="264">
        <v>5</v>
      </c>
      <c r="K250" s="355">
        <f t="shared" si="5"/>
        <v>2.2655188038060714E-3</v>
      </c>
      <c r="L250" s="265">
        <v>185</v>
      </c>
      <c r="M250" s="355">
        <f t="shared" si="6"/>
        <v>2.0759459580771129E-3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2207</v>
      </c>
      <c r="K252" s="355">
        <f>SUM(K238:K251)</f>
        <v>1</v>
      </c>
      <c r="L252" s="265">
        <f>SUM(L238:L251)</f>
        <v>89116</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1</v>
      </c>
      <c r="K279" s="355">
        <f t="shared" si="7"/>
        <v>0.33333333333333331</v>
      </c>
      <c r="L279" s="265">
        <v>20</v>
      </c>
      <c r="M279" s="355">
        <f t="shared" si="8"/>
        <v>0.27397260273972601</v>
      </c>
      <c r="N279" s="263"/>
      <c r="O279" s="266"/>
      <c r="P279" s="5"/>
    </row>
    <row r="280" spans="1:16" ht="15.6" x14ac:dyDescent="0.3">
      <c r="A280" s="262"/>
      <c r="B280" s="264" t="s">
        <v>229</v>
      </c>
      <c r="C280" s="263"/>
      <c r="D280" s="357"/>
      <c r="E280" s="357"/>
      <c r="F280" s="357"/>
      <c r="G280" s="357"/>
      <c r="H280" s="357"/>
      <c r="I280" s="357"/>
      <c r="J280" s="264">
        <v>1</v>
      </c>
      <c r="K280" s="355">
        <f t="shared" si="7"/>
        <v>0.33333333333333331</v>
      </c>
      <c r="L280" s="265">
        <v>30</v>
      </c>
      <c r="M280" s="355">
        <f t="shared" si="8"/>
        <v>0.41095890410958902</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0.33333333333333331</v>
      </c>
      <c r="L284" s="265">
        <v>23</v>
      </c>
      <c r="M284" s="355">
        <f t="shared" si="8"/>
        <v>0.31506849315068491</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3</v>
      </c>
      <c r="K286" s="355">
        <f>SUM(K272:K284)</f>
        <v>1</v>
      </c>
      <c r="L286" s="265">
        <f>SUM(L272:L284)</f>
        <v>73</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2210</v>
      </c>
      <c r="K288" s="355"/>
      <c r="L288" s="359">
        <f>+L286+L269+L252</f>
        <v>89189</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89</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239</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90</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NOVEMBER 2011</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honeticPr fontId="0" type="noConversion"/>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sheetPr>
  <dimension ref="A1:IV282"/>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3.9899999999999998E-2</v>
      </c>
      <c r="L16" s="17" t="s">
        <v>133</v>
      </c>
      <c r="M16" s="129">
        <v>0.96009999999999995</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39349</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74"/>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74"/>
      <c r="N22" s="174"/>
      <c r="O22" s="8"/>
      <c r="P22" s="5"/>
    </row>
    <row r="23" spans="1:16" ht="15.6" x14ac:dyDescent="0.3">
      <c r="A23" s="24"/>
      <c r="B23" s="25" t="s">
        <v>7</v>
      </c>
      <c r="C23" s="26"/>
      <c r="D23" s="26" t="s">
        <v>134</v>
      </c>
      <c r="E23" s="26"/>
      <c r="F23" s="26" t="s">
        <v>152</v>
      </c>
      <c r="G23" s="26"/>
      <c r="H23" s="26" t="s">
        <v>135</v>
      </c>
      <c r="I23" s="26"/>
      <c r="J23" s="26"/>
      <c r="K23" s="26"/>
      <c r="L23" s="26"/>
      <c r="M23" s="175"/>
      <c r="N23" s="175"/>
      <c r="O23" s="25"/>
      <c r="P23" s="5"/>
    </row>
    <row r="24" spans="1:16" ht="15.6" x14ac:dyDescent="0.3">
      <c r="A24" s="28"/>
      <c r="B24" s="124" t="s">
        <v>162</v>
      </c>
      <c r="C24" s="118"/>
      <c r="D24" s="26" t="s">
        <v>134</v>
      </c>
      <c r="E24" s="26"/>
      <c r="F24" s="26" t="s">
        <v>152</v>
      </c>
      <c r="G24" s="26"/>
      <c r="H24" s="26" t="s">
        <v>135</v>
      </c>
      <c r="I24" s="26"/>
      <c r="J24" s="26"/>
      <c r="K24" s="118"/>
      <c r="L24" s="26"/>
      <c r="M24" s="175"/>
      <c r="N24" s="175"/>
      <c r="O24" s="25"/>
      <c r="P24" s="5"/>
    </row>
    <row r="25" spans="1:16" ht="15.6" x14ac:dyDescent="0.3">
      <c r="A25" s="24"/>
      <c r="B25" s="29" t="s">
        <v>163</v>
      </c>
      <c r="C25" s="26"/>
      <c r="D25" s="118" t="s">
        <v>134</v>
      </c>
      <c r="E25" s="118"/>
      <c r="F25" s="118" t="s">
        <v>152</v>
      </c>
      <c r="G25" s="118"/>
      <c r="H25" s="118" t="s">
        <v>135</v>
      </c>
      <c r="I25" s="118"/>
      <c r="J25" s="118"/>
      <c r="K25" s="26"/>
      <c r="L25" s="30"/>
      <c r="M25" s="175"/>
      <c r="N25" s="175"/>
      <c r="O25" s="25"/>
      <c r="P25" s="5"/>
    </row>
    <row r="26" spans="1:16" ht="15.6" x14ac:dyDescent="0.3">
      <c r="A26" s="24"/>
      <c r="B26" s="143" t="s">
        <v>164</v>
      </c>
      <c r="C26" s="26"/>
      <c r="D26" s="118" t="s">
        <v>134</v>
      </c>
      <c r="E26" s="118"/>
      <c r="F26" s="118" t="s">
        <v>152</v>
      </c>
      <c r="G26" s="118"/>
      <c r="H26" s="118" t="s">
        <v>135</v>
      </c>
      <c r="I26" s="118"/>
      <c r="J26" s="118"/>
      <c r="K26" s="26"/>
      <c r="L26" s="30"/>
      <c r="M26" s="175"/>
      <c r="N26" s="175"/>
      <c r="O26" s="25"/>
      <c r="P26" s="5"/>
    </row>
    <row r="27" spans="1:16" ht="15.6" x14ac:dyDescent="0.3">
      <c r="A27" s="24"/>
      <c r="B27" s="25" t="s">
        <v>8</v>
      </c>
      <c r="C27" s="32"/>
      <c r="D27" s="26" t="s">
        <v>218</v>
      </c>
      <c r="E27" s="26"/>
      <c r="F27" s="26" t="s">
        <v>219</v>
      </c>
      <c r="G27" s="26"/>
      <c r="H27" s="26" t="s">
        <v>220</v>
      </c>
      <c r="I27" s="26"/>
      <c r="J27" s="26"/>
      <c r="K27" s="31"/>
      <c r="L27" s="31"/>
      <c r="M27" s="176"/>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228085.41190000001</v>
      </c>
      <c r="E29" s="31"/>
      <c r="F29" s="31">
        <f>F28*F32</f>
        <v>4050</v>
      </c>
      <c r="G29" s="31"/>
      <c r="H29" s="31">
        <f>H28*H32</f>
        <v>4050</v>
      </c>
      <c r="I29" s="31"/>
      <c r="J29" s="119"/>
      <c r="K29" s="31"/>
      <c r="L29" s="31"/>
      <c r="M29" s="176"/>
      <c r="N29" s="31">
        <f>SUM(D29:H29)</f>
        <v>236185.41190000001</v>
      </c>
      <c r="O29" s="34"/>
      <c r="P29" s="5"/>
    </row>
    <row r="30" spans="1:16" ht="15.6" x14ac:dyDescent="0.3">
      <c r="A30" s="24"/>
      <c r="B30" s="29" t="s">
        <v>130</v>
      </c>
      <c r="C30" s="32"/>
      <c r="D30" s="35">
        <f>D28*D31</f>
        <v>206810.95</v>
      </c>
      <c r="E30" s="35"/>
      <c r="F30" s="35">
        <f>F28*F31</f>
        <v>4050</v>
      </c>
      <c r="G30" s="35"/>
      <c r="H30" s="35">
        <f>H28*H31</f>
        <v>4050</v>
      </c>
      <c r="I30" s="35"/>
      <c r="J30" s="120"/>
      <c r="K30" s="31"/>
      <c r="L30" s="31"/>
      <c r="M30" s="176"/>
      <c r="N30" s="145">
        <f>SUM(D30:I30)</f>
        <v>214910.95</v>
      </c>
      <c r="O30" s="34"/>
      <c r="P30" s="5"/>
    </row>
    <row r="31" spans="1:16" ht="15.6" x14ac:dyDescent="0.3">
      <c r="A31" s="24"/>
      <c r="B31" s="117" t="s">
        <v>126</v>
      </c>
      <c r="C31" s="25"/>
      <c r="D31" s="171">
        <v>0.79390000000000005</v>
      </c>
      <c r="E31" s="171"/>
      <c r="F31" s="171">
        <v>1</v>
      </c>
      <c r="G31" s="171"/>
      <c r="H31" s="171">
        <v>1</v>
      </c>
      <c r="I31" s="128"/>
      <c r="J31" s="128"/>
      <c r="K31" s="30"/>
      <c r="L31" s="30"/>
      <c r="M31" s="175"/>
      <c r="N31" s="175"/>
      <c r="O31" s="25"/>
      <c r="P31" s="5"/>
    </row>
    <row r="32" spans="1:16" ht="15.6" x14ac:dyDescent="0.3">
      <c r="A32" s="24"/>
      <c r="B32" s="117" t="s">
        <v>127</v>
      </c>
      <c r="C32" s="25"/>
      <c r="D32" s="171">
        <v>0.87556780000000001</v>
      </c>
      <c r="E32" s="171"/>
      <c r="F32" s="171">
        <v>1</v>
      </c>
      <c r="G32" s="171"/>
      <c r="H32" s="171">
        <v>1</v>
      </c>
      <c r="I32" s="128"/>
      <c r="J32" s="128"/>
      <c r="K32" s="39"/>
      <c r="L32" s="38"/>
      <c r="M32" s="175"/>
      <c r="N32" s="39"/>
      <c r="O32" s="25"/>
      <c r="P32" s="5"/>
    </row>
    <row r="33" spans="1:17" ht="15.6" x14ac:dyDescent="0.3">
      <c r="A33" s="24"/>
      <c r="B33" s="25" t="s">
        <v>9</v>
      </c>
      <c r="C33" s="25"/>
      <c r="D33" s="30" t="s">
        <v>192</v>
      </c>
      <c r="E33" s="30"/>
      <c r="F33" s="30" t="s">
        <v>194</v>
      </c>
      <c r="G33" s="30"/>
      <c r="H33" s="30" t="s">
        <v>196</v>
      </c>
      <c r="I33" s="30"/>
      <c r="J33" s="30"/>
      <c r="K33" s="39"/>
      <c r="L33" s="38"/>
      <c r="M33" s="175"/>
      <c r="N33" s="175"/>
      <c r="O33" s="25"/>
      <c r="P33" s="5"/>
    </row>
    <row r="34" spans="1:17" ht="15.6" x14ac:dyDescent="0.3">
      <c r="A34" s="24"/>
      <c r="B34" s="25" t="s">
        <v>10</v>
      </c>
      <c r="C34" s="25"/>
      <c r="D34" s="38">
        <v>5.9700000000000003E-2</v>
      </c>
      <c r="E34" s="39"/>
      <c r="F34" s="38">
        <v>6.0299999999999999E-2</v>
      </c>
      <c r="G34" s="39"/>
      <c r="H34" s="38">
        <v>6.13E-2</v>
      </c>
      <c r="I34" s="39"/>
      <c r="J34" s="38"/>
      <c r="K34" s="39"/>
      <c r="L34" s="38"/>
      <c r="M34" s="175"/>
      <c r="N34" s="39">
        <f>SUMPRODUCT(D34:H34,D29:H29)/N29</f>
        <v>5.9737724599196559E-2</v>
      </c>
      <c r="O34" s="25"/>
      <c r="P34" s="5"/>
    </row>
    <row r="35" spans="1:17" ht="15.6" x14ac:dyDescent="0.3">
      <c r="A35" s="24"/>
      <c r="B35" s="25" t="s">
        <v>11</v>
      </c>
      <c r="C35" s="25"/>
      <c r="D35" s="38">
        <v>5.7830199999999998E-2</v>
      </c>
      <c r="E35" s="39"/>
      <c r="F35" s="38">
        <v>5.8430200000000002E-2</v>
      </c>
      <c r="G35" s="39"/>
      <c r="H35" s="38">
        <v>5.9430200000000002E-2</v>
      </c>
      <c r="I35" s="38"/>
      <c r="J35" s="38"/>
      <c r="K35" s="39"/>
      <c r="L35" s="38"/>
      <c r="M35" s="175"/>
      <c r="N35" s="39" t="s">
        <v>165</v>
      </c>
      <c r="O35" s="25"/>
      <c r="P35" s="5"/>
    </row>
    <row r="36" spans="1:17" ht="15.6" x14ac:dyDescent="0.3">
      <c r="A36" s="24"/>
      <c r="B36" s="25" t="s">
        <v>12</v>
      </c>
      <c r="C36" s="25"/>
      <c r="D36" s="105">
        <v>40617</v>
      </c>
      <c r="E36" s="105"/>
      <c r="F36" s="105">
        <v>40617</v>
      </c>
      <c r="G36" s="105"/>
      <c r="H36" s="105">
        <v>40617</v>
      </c>
      <c r="I36" s="105"/>
      <c r="J36" s="105"/>
      <c r="K36" s="30"/>
      <c r="L36" s="30"/>
      <c r="M36" s="175"/>
      <c r="N36" s="175"/>
      <c r="O36" s="25"/>
      <c r="P36" s="5"/>
    </row>
    <row r="37" spans="1:17" ht="15.6" x14ac:dyDescent="0.3">
      <c r="A37" s="24"/>
      <c r="B37" s="25" t="s">
        <v>13</v>
      </c>
      <c r="C37" s="25"/>
      <c r="D37" s="105">
        <v>40983</v>
      </c>
      <c r="E37" s="30"/>
      <c r="F37" s="105">
        <v>40983</v>
      </c>
      <c r="G37" s="30"/>
      <c r="H37" s="105">
        <v>40983</v>
      </c>
      <c r="I37" s="30"/>
      <c r="J37" s="105"/>
      <c r="K37" s="30"/>
      <c r="L37" s="30"/>
      <c r="M37" s="175"/>
      <c r="N37" s="175"/>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0"/>
      <c r="G39" s="30"/>
      <c r="H39" s="30"/>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3.9166204690805777E-2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39342</v>
      </c>
      <c r="O45" s="25"/>
      <c r="P45" s="5"/>
    </row>
    <row r="46" spans="1:17" ht="15.6" x14ac:dyDescent="0.3">
      <c r="A46" s="24"/>
      <c r="B46" s="25" t="s">
        <v>119</v>
      </c>
      <c r="C46" s="25"/>
      <c r="D46" s="56"/>
      <c r="E46" s="56"/>
      <c r="F46" s="56"/>
      <c r="G46" s="56"/>
      <c r="H46" s="56"/>
      <c r="I46" s="56"/>
      <c r="J46" s="25">
        <f>+N46-L46+1</f>
        <v>141</v>
      </c>
      <c r="K46" s="56"/>
      <c r="L46" s="44">
        <v>39107</v>
      </c>
      <c r="M46" s="45"/>
      <c r="N46" s="44">
        <v>39247</v>
      </c>
      <c r="O46" s="25"/>
      <c r="P46" s="5"/>
    </row>
    <row r="47" spans="1:17" ht="15.6" x14ac:dyDescent="0.3">
      <c r="A47" s="24"/>
      <c r="B47" s="25" t="s">
        <v>120</v>
      </c>
      <c r="C47" s="25"/>
      <c r="D47" s="25"/>
      <c r="E47" s="25"/>
      <c r="F47" s="25"/>
      <c r="G47" s="25"/>
      <c r="H47" s="25"/>
      <c r="I47" s="25"/>
      <c r="J47" s="25">
        <f>+N47-L47+1</f>
        <v>94</v>
      </c>
      <c r="K47" s="25"/>
      <c r="L47" s="44">
        <v>39248</v>
      </c>
      <c r="M47" s="45"/>
      <c r="N47" s="44">
        <v>39341</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39328</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236</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236185</v>
      </c>
      <c r="G57" s="34"/>
      <c r="H57" s="34">
        <f>21274+4623</f>
        <v>25897</v>
      </c>
      <c r="I57" s="34"/>
      <c r="J57" s="34">
        <v>4623</v>
      </c>
      <c r="K57" s="34"/>
      <c r="L57" s="34">
        <v>0</v>
      </c>
      <c r="M57" s="34"/>
      <c r="N57" s="52">
        <f>+F57-H57+J57-L57</f>
        <v>214911</v>
      </c>
      <c r="O57" s="25"/>
      <c r="P57" s="5"/>
    </row>
    <row r="58" spans="1:16" ht="15.6" x14ac:dyDescent="0.3">
      <c r="A58" s="24"/>
      <c r="B58" s="25" t="s">
        <v>209</v>
      </c>
      <c r="C58" s="34"/>
      <c r="D58" s="34">
        <v>756</v>
      </c>
      <c r="E58" s="34"/>
      <c r="F58" s="52">
        <v>688</v>
      </c>
      <c r="G58" s="34"/>
      <c r="H58" s="34">
        <v>40</v>
      </c>
      <c r="I58" s="34"/>
      <c r="J58" s="34">
        <v>0</v>
      </c>
      <c r="K58" s="34"/>
      <c r="L58" s="34">
        <v>0</v>
      </c>
      <c r="M58" s="34"/>
      <c r="N58" s="52">
        <f>+F58-H58</f>
        <v>648</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236873</v>
      </c>
      <c r="G60" s="34"/>
      <c r="H60" s="34">
        <f>SUM(H57:H59)</f>
        <v>25937</v>
      </c>
      <c r="I60" s="34"/>
      <c r="J60" s="34">
        <f>SUM(J57:J59)</f>
        <v>4623</v>
      </c>
      <c r="K60" s="34"/>
      <c r="L60" s="34">
        <f>SUM(L57:L59)</f>
        <v>0</v>
      </c>
      <c r="M60" s="34"/>
      <c r="N60" s="53">
        <f>SUM(N57:N59)</f>
        <v>215559</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-688</v>
      </c>
      <c r="G69" s="34"/>
      <c r="H69" s="34"/>
      <c r="I69" s="34"/>
      <c r="J69" s="34"/>
      <c r="K69" s="34"/>
      <c r="L69" s="34"/>
      <c r="M69" s="34"/>
      <c r="N69" s="52">
        <f>-N58</f>
        <v>-648</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0</v>
      </c>
      <c r="G71" s="34"/>
      <c r="H71" s="34">
        <v>0</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236185</v>
      </c>
      <c r="G73" s="34"/>
      <c r="H73" s="34"/>
      <c r="I73" s="34"/>
      <c r="J73" s="34"/>
      <c r="K73" s="34"/>
      <c r="L73" s="53"/>
      <c r="M73" s="34"/>
      <c r="N73" s="53">
        <f>SUM(N60:N72)</f>
        <v>214911</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+L183</f>
        <v>39325</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0</v>
      </c>
      <c r="M77" s="25"/>
      <c r="N77" s="52">
        <v>0</v>
      </c>
      <c r="O77" s="25"/>
      <c r="P77" s="5"/>
    </row>
    <row r="78" spans="1:16" ht="15.6" x14ac:dyDescent="0.3">
      <c r="A78" s="24"/>
      <c r="B78" s="25" t="s">
        <v>27</v>
      </c>
      <c r="C78" s="25"/>
      <c r="D78" s="40"/>
      <c r="E78" s="25"/>
      <c r="F78" s="121"/>
      <c r="G78" s="25"/>
      <c r="H78" s="25"/>
      <c r="I78" s="25"/>
      <c r="J78" s="25"/>
      <c r="K78" s="25"/>
      <c r="L78" s="34">
        <f>25897+8</f>
        <v>25905</v>
      </c>
      <c r="M78" s="25"/>
      <c r="N78" s="52"/>
      <c r="O78" s="25"/>
      <c r="P78" s="5"/>
    </row>
    <row r="79" spans="1:16" ht="15.6" x14ac:dyDescent="0.3">
      <c r="A79" s="24"/>
      <c r="B79" s="25" t="s">
        <v>176</v>
      </c>
      <c r="C79" s="25"/>
      <c r="D79" s="40"/>
      <c r="E79" s="25"/>
      <c r="F79" s="121"/>
      <c r="G79" s="25"/>
      <c r="H79" s="25"/>
      <c r="I79" s="25"/>
      <c r="J79" s="25"/>
      <c r="K79" s="25"/>
      <c r="L79" s="34"/>
      <c r="M79" s="25"/>
      <c r="N79" s="52">
        <f>7401+260+3023-7815-77-1382</f>
        <v>1410</v>
      </c>
      <c r="O79" s="25"/>
      <c r="P79" s="5"/>
    </row>
    <row r="80" spans="1:16" ht="15.6" x14ac:dyDescent="0.3">
      <c r="A80" s="24"/>
      <c r="B80" s="25" t="s">
        <v>174</v>
      </c>
      <c r="C80" s="25"/>
      <c r="D80" s="40"/>
      <c r="E80" s="25"/>
      <c r="F80" s="121"/>
      <c r="G80" s="25"/>
      <c r="H80" s="25"/>
      <c r="I80" s="25"/>
      <c r="J80" s="25"/>
      <c r="K80" s="25"/>
      <c r="L80" s="34"/>
      <c r="M80" s="25"/>
      <c r="N80" s="52">
        <f>200+15+88</f>
        <v>303</v>
      </c>
      <c r="O80" s="25"/>
      <c r="P80" s="5"/>
    </row>
    <row r="81" spans="1:17" ht="15.6" x14ac:dyDescent="0.3">
      <c r="A81" s="24"/>
      <c r="B81" s="25" t="s">
        <v>175</v>
      </c>
      <c r="C81" s="25"/>
      <c r="D81" s="40"/>
      <c r="E81" s="25"/>
      <c r="F81" s="121"/>
      <c r="G81" s="25"/>
      <c r="H81" s="25"/>
      <c r="I81" s="25"/>
      <c r="J81" s="25"/>
      <c r="K81" s="25"/>
      <c r="L81" s="34"/>
      <c r="M81" s="25"/>
      <c r="N81" s="52">
        <v>348</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0</v>
      </c>
      <c r="O83" s="25"/>
      <c r="P83" s="5"/>
    </row>
    <row r="84" spans="1:17" ht="15.6" x14ac:dyDescent="0.3">
      <c r="A84" s="24"/>
      <c r="B84" s="25" t="s">
        <v>28</v>
      </c>
      <c r="C84" s="25"/>
      <c r="D84" s="25"/>
      <c r="E84" s="25"/>
      <c r="F84" s="25"/>
      <c r="G84" s="25"/>
      <c r="H84" s="25"/>
      <c r="I84" s="25"/>
      <c r="J84" s="25"/>
      <c r="K84" s="25"/>
      <c r="L84" s="34">
        <f>SUM(L77:L83)</f>
        <v>25905</v>
      </c>
      <c r="M84" s="25"/>
      <c r="N84" s="53">
        <f>SUM(N77:N83)</f>
        <v>2061</v>
      </c>
      <c r="O84" s="25"/>
      <c r="P84" s="5"/>
    </row>
    <row r="85" spans="1:17" ht="15.6" x14ac:dyDescent="0.3">
      <c r="A85" s="24"/>
      <c r="B85" s="25" t="s">
        <v>148</v>
      </c>
      <c r="C85" s="25"/>
      <c r="D85" s="25"/>
      <c r="E85" s="25"/>
      <c r="F85" s="25"/>
      <c r="G85" s="25"/>
      <c r="H85" s="25"/>
      <c r="I85" s="25"/>
      <c r="J85" s="25"/>
      <c r="K85" s="25"/>
      <c r="L85" s="34">
        <v>-3452</v>
      </c>
      <c r="M85" s="25"/>
      <c r="N85" s="53">
        <f>-L85</f>
        <v>3452</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30</v>
      </c>
      <c r="C87" s="25"/>
      <c r="D87" s="25"/>
      <c r="E87" s="25"/>
      <c r="F87" s="25"/>
      <c r="G87" s="25"/>
      <c r="H87" s="25"/>
      <c r="I87" s="25"/>
      <c r="J87" s="25"/>
      <c r="K87" s="25"/>
      <c r="L87" s="34">
        <f>L84+L86+L85</f>
        <v>22453</v>
      </c>
      <c r="M87" s="25"/>
      <c r="N87" s="53">
        <f>N84+N86+N85</f>
        <v>5513</v>
      </c>
      <c r="O87" s="25"/>
      <c r="P87" s="5"/>
    </row>
    <row r="88" spans="1:17" ht="15.6" x14ac:dyDescent="0.3">
      <c r="A88" s="24"/>
      <c r="B88" s="113" t="s">
        <v>31</v>
      </c>
      <c r="C88" s="25"/>
      <c r="D88" s="25"/>
      <c r="E88" s="25"/>
      <c r="F88" s="25"/>
      <c r="G88" s="25"/>
      <c r="H88" s="25"/>
      <c r="I88" s="25"/>
      <c r="J88" s="25"/>
      <c r="K88" s="25"/>
      <c r="L88" s="34"/>
      <c r="M88" s="25"/>
      <c r="N88" s="52"/>
      <c r="O88" s="25"/>
      <c r="P88" s="5"/>
    </row>
    <row r="89" spans="1:17" ht="15.6" x14ac:dyDescent="0.3">
      <c r="A89" s="24">
        <v>1</v>
      </c>
      <c r="B89" s="25" t="s">
        <v>32</v>
      </c>
      <c r="C89" s="25"/>
      <c r="D89" s="25"/>
      <c r="E89" s="25"/>
      <c r="F89" s="25"/>
      <c r="G89" s="25"/>
      <c r="H89" s="25"/>
      <c r="I89" s="25"/>
      <c r="J89" s="25"/>
      <c r="K89" s="25"/>
      <c r="L89" s="25"/>
      <c r="M89" s="25"/>
      <c r="N89" s="52">
        <v>0</v>
      </c>
      <c r="O89" s="25"/>
      <c r="P89" s="5"/>
    </row>
    <row r="90" spans="1:17" ht="15.6" x14ac:dyDescent="0.3">
      <c r="A90" s="24">
        <f>+A89+1</f>
        <v>2</v>
      </c>
      <c r="B90" s="25" t="s">
        <v>224</v>
      </c>
      <c r="C90" s="25"/>
      <c r="D90" s="25"/>
      <c r="E90" s="25"/>
      <c r="F90" s="25"/>
      <c r="G90" s="25"/>
      <c r="H90" s="25"/>
      <c r="I90" s="25"/>
      <c r="J90" s="25"/>
      <c r="K90" s="25"/>
      <c r="L90" s="25"/>
      <c r="M90" s="25"/>
      <c r="N90" s="52">
        <v>-2</v>
      </c>
      <c r="O90" s="25"/>
      <c r="P90" s="5"/>
    </row>
    <row r="91" spans="1:17" ht="15.6" x14ac:dyDescent="0.3">
      <c r="A91" s="24">
        <f>+A90+1</f>
        <v>3</v>
      </c>
      <c r="B91" s="25" t="s">
        <v>235</v>
      </c>
      <c r="C91" s="25"/>
      <c r="D91" s="25"/>
      <c r="E91" s="25"/>
      <c r="F91" s="25"/>
      <c r="G91" s="25"/>
      <c r="H91" s="25"/>
      <c r="I91" s="25"/>
      <c r="J91" s="25"/>
      <c r="K91" s="25"/>
      <c r="L91" s="25"/>
      <c r="M91" s="25"/>
      <c r="N91" s="52">
        <f>-90-9-3-5</f>
        <v>-107</v>
      </c>
      <c r="O91" s="25"/>
      <c r="P91" s="5"/>
    </row>
    <row r="92" spans="1:17" ht="15.6" x14ac:dyDescent="0.3">
      <c r="A92" s="24" t="s">
        <v>123</v>
      </c>
      <c r="B92" s="25" t="s">
        <v>116</v>
      </c>
      <c r="C92" s="25"/>
      <c r="D92" s="25"/>
      <c r="E92" s="25"/>
      <c r="F92" s="25"/>
      <c r="G92" s="25"/>
      <c r="H92" s="25"/>
      <c r="I92" s="25"/>
      <c r="J92" s="25"/>
      <c r="K92" s="25"/>
      <c r="L92" s="25"/>
      <c r="M92" s="25"/>
      <c r="N92" s="52">
        <v>0</v>
      </c>
      <c r="O92" s="25"/>
      <c r="P92" s="5"/>
    </row>
    <row r="93" spans="1:17" ht="15.6" x14ac:dyDescent="0.3">
      <c r="A93" s="24" t="s">
        <v>124</v>
      </c>
      <c r="B93" s="25" t="s">
        <v>214</v>
      </c>
      <c r="C93" s="25"/>
      <c r="D93" s="25"/>
      <c r="E93" s="25"/>
      <c r="F93" s="25"/>
      <c r="G93" s="25"/>
      <c r="H93" s="25"/>
      <c r="I93" s="25"/>
      <c r="J93" s="25"/>
      <c r="K93" s="25"/>
      <c r="L93" s="25"/>
      <c r="M93" s="25"/>
      <c r="N93" s="52">
        <v>-3507</v>
      </c>
      <c r="O93" s="25"/>
      <c r="P93" s="5"/>
    </row>
    <row r="94" spans="1:17" ht="15.6" x14ac:dyDescent="0.3">
      <c r="A94" s="24" t="s">
        <v>140</v>
      </c>
      <c r="B94" s="25" t="s">
        <v>180</v>
      </c>
      <c r="C94" s="25"/>
      <c r="D94" s="25"/>
      <c r="E94" s="25"/>
      <c r="F94" s="25"/>
      <c r="G94" s="25"/>
      <c r="H94" s="25"/>
      <c r="I94" s="25"/>
      <c r="J94" s="25"/>
      <c r="K94" s="25"/>
      <c r="L94" s="25"/>
      <c r="M94" s="25"/>
      <c r="N94" s="52">
        <v>-2</v>
      </c>
      <c r="O94" s="25"/>
      <c r="P94" s="5"/>
    </row>
    <row r="95" spans="1:17" ht="15.6" x14ac:dyDescent="0.3">
      <c r="A95" s="24" t="s">
        <v>169</v>
      </c>
      <c r="B95" s="25" t="s">
        <v>215</v>
      </c>
      <c r="C95" s="25"/>
      <c r="D95" s="25"/>
      <c r="E95" s="25"/>
      <c r="F95" s="25"/>
      <c r="G95" s="25"/>
      <c r="H95" s="25"/>
      <c r="I95" s="25"/>
      <c r="J95" s="25"/>
      <c r="K95" s="25"/>
      <c r="L95" s="25"/>
      <c r="M95" s="25"/>
      <c r="N95" s="52">
        <v>-63</v>
      </c>
      <c r="O95" s="25"/>
      <c r="P95" s="5"/>
      <c r="Q95" s="104"/>
    </row>
    <row r="96" spans="1:17" ht="15.6" x14ac:dyDescent="0.3">
      <c r="A96" s="24" t="s">
        <v>170</v>
      </c>
      <c r="B96" s="25" t="s">
        <v>216</v>
      </c>
      <c r="C96" s="25"/>
      <c r="D96" s="25"/>
      <c r="E96" s="25"/>
      <c r="F96" s="25"/>
      <c r="G96" s="25"/>
      <c r="H96" s="25"/>
      <c r="I96" s="25"/>
      <c r="J96" s="25"/>
      <c r="K96" s="25"/>
      <c r="L96" s="25"/>
      <c r="M96" s="25"/>
      <c r="N96" s="52">
        <v>-64</v>
      </c>
      <c r="O96" s="25"/>
      <c r="P96" s="5"/>
      <c r="Q96" s="104"/>
    </row>
    <row r="97" spans="1:16" ht="15.6" x14ac:dyDescent="0.3">
      <c r="A97" s="24">
        <v>7</v>
      </c>
      <c r="B97" s="25" t="s">
        <v>33</v>
      </c>
      <c r="C97" s="25"/>
      <c r="D97" s="25"/>
      <c r="E97" s="25"/>
      <c r="F97" s="25"/>
      <c r="G97" s="25"/>
      <c r="H97" s="25"/>
      <c r="I97" s="25"/>
      <c r="J97" s="25"/>
      <c r="K97" s="25"/>
      <c r="L97" s="25"/>
      <c r="M97" s="25"/>
      <c r="N97" s="52">
        <v>-9</v>
      </c>
      <c r="O97" s="25"/>
      <c r="P97" s="5"/>
    </row>
    <row r="98" spans="1:16" ht="15.6" x14ac:dyDescent="0.3">
      <c r="A98" s="24">
        <f t="shared" ref="A98:A104" si="0">+A97+1</f>
        <v>8</v>
      </c>
      <c r="B98" s="25" t="s">
        <v>42</v>
      </c>
      <c r="C98" s="25"/>
      <c r="D98" s="25"/>
      <c r="E98" s="25"/>
      <c r="F98" s="25"/>
      <c r="G98" s="25"/>
      <c r="H98" s="25"/>
      <c r="I98" s="25"/>
      <c r="J98" s="25"/>
      <c r="K98" s="25"/>
      <c r="L98" s="34">
        <f>-N98</f>
        <v>-8</v>
      </c>
      <c r="M98" s="25"/>
      <c r="N98" s="52">
        <v>8</v>
      </c>
      <c r="O98" s="25"/>
      <c r="P98" s="5"/>
    </row>
    <row r="99" spans="1:16" ht="15.6" x14ac:dyDescent="0.3">
      <c r="A99" s="24">
        <f t="shared" si="0"/>
        <v>9</v>
      </c>
      <c r="B99" s="25" t="s">
        <v>121</v>
      </c>
      <c r="C99" s="25"/>
      <c r="D99" s="25"/>
      <c r="E99" s="25"/>
      <c r="F99" s="25"/>
      <c r="G99" s="25"/>
      <c r="H99" s="25"/>
      <c r="I99" s="25"/>
      <c r="J99" s="25"/>
      <c r="K99" s="25"/>
      <c r="L99" s="25"/>
      <c r="M99" s="25"/>
      <c r="N99" s="52">
        <v>0</v>
      </c>
      <c r="O99" s="25"/>
      <c r="P99" s="5"/>
    </row>
    <row r="100" spans="1:16" ht="15.6" x14ac:dyDescent="0.3">
      <c r="A100" s="24">
        <f t="shared" si="0"/>
        <v>10</v>
      </c>
      <c r="B100" s="25" t="s">
        <v>182</v>
      </c>
      <c r="C100" s="25"/>
      <c r="D100" s="25"/>
      <c r="E100" s="25"/>
      <c r="F100" s="25"/>
      <c r="G100" s="25"/>
      <c r="H100" s="25"/>
      <c r="I100" s="25"/>
      <c r="J100" s="25"/>
      <c r="K100" s="25"/>
      <c r="L100" s="25"/>
      <c r="M100" s="25"/>
      <c r="N100" s="52">
        <v>0</v>
      </c>
      <c r="O100" s="25"/>
      <c r="P100" s="5"/>
    </row>
    <row r="101" spans="1:16" ht="15.6" x14ac:dyDescent="0.3">
      <c r="A101" s="24">
        <f t="shared" si="0"/>
        <v>11</v>
      </c>
      <c r="B101" s="25" t="s">
        <v>34</v>
      </c>
      <c r="C101" s="25"/>
      <c r="D101" s="25"/>
      <c r="E101" s="25"/>
      <c r="F101" s="25"/>
      <c r="G101" s="25"/>
      <c r="H101" s="25"/>
      <c r="I101" s="25"/>
      <c r="J101" s="25"/>
      <c r="K101" s="25"/>
      <c r="L101" s="25"/>
      <c r="M101" s="25"/>
      <c r="N101" s="52">
        <v>0</v>
      </c>
      <c r="O101" s="25"/>
      <c r="P101" s="5"/>
    </row>
    <row r="102" spans="1:16" ht="15.6" x14ac:dyDescent="0.3">
      <c r="A102" s="24">
        <f t="shared" si="0"/>
        <v>12</v>
      </c>
      <c r="B102" s="25" t="s">
        <v>181</v>
      </c>
      <c r="C102" s="25"/>
      <c r="D102" s="25"/>
      <c r="E102" s="25"/>
      <c r="F102" s="25"/>
      <c r="G102" s="25"/>
      <c r="H102" s="25"/>
      <c r="I102" s="25"/>
      <c r="J102" s="25"/>
      <c r="K102" s="25"/>
      <c r="L102" s="25"/>
      <c r="M102" s="25"/>
      <c r="N102" s="52">
        <v>0</v>
      </c>
      <c r="O102" s="25"/>
      <c r="P102" s="5"/>
    </row>
    <row r="103" spans="1:16" ht="15.6" x14ac:dyDescent="0.3">
      <c r="A103" s="24">
        <f t="shared" si="0"/>
        <v>13</v>
      </c>
      <c r="B103" s="25" t="s">
        <v>139</v>
      </c>
      <c r="C103" s="25"/>
      <c r="D103" s="25"/>
      <c r="E103" s="25"/>
      <c r="F103" s="25"/>
      <c r="G103" s="25"/>
      <c r="H103" s="25"/>
      <c r="I103" s="25"/>
      <c r="J103" s="25"/>
      <c r="K103" s="25"/>
      <c r="L103" s="25"/>
      <c r="M103" s="25"/>
      <c r="N103" s="52">
        <v>-89</v>
      </c>
      <c r="O103" s="25"/>
      <c r="P103" s="5"/>
    </row>
    <row r="104" spans="1:16" ht="15.6" x14ac:dyDescent="0.3">
      <c r="A104" s="24">
        <f t="shared" si="0"/>
        <v>14</v>
      </c>
      <c r="B104" s="25" t="s">
        <v>122</v>
      </c>
      <c r="C104" s="25"/>
      <c r="D104" s="25"/>
      <c r="E104" s="25"/>
      <c r="F104" s="25"/>
      <c r="G104" s="25"/>
      <c r="H104" s="25"/>
      <c r="I104" s="25"/>
      <c r="J104" s="25"/>
      <c r="K104" s="25"/>
      <c r="L104" s="25"/>
      <c r="M104" s="25"/>
      <c r="N104" s="52">
        <f>-N87-SUM(N89:N103)</f>
        <v>-1678</v>
      </c>
      <c r="O104" s="25"/>
      <c r="P104" s="5"/>
    </row>
    <row r="105" spans="1:16" ht="15.6" x14ac:dyDescent="0.3">
      <c r="A105" s="24"/>
      <c r="B105" s="113" t="s">
        <v>35</v>
      </c>
      <c r="C105" s="25"/>
      <c r="D105" s="25"/>
      <c r="E105" s="25"/>
      <c r="F105" s="25"/>
      <c r="G105" s="25"/>
      <c r="H105" s="25"/>
      <c r="I105" s="25"/>
      <c r="J105" s="25"/>
      <c r="K105" s="25"/>
      <c r="L105" s="25"/>
      <c r="M105" s="25"/>
      <c r="N105" s="57"/>
      <c r="O105" s="25"/>
      <c r="P105" s="5"/>
    </row>
    <row r="106" spans="1:16" ht="15.6" x14ac:dyDescent="0.3">
      <c r="A106" s="24"/>
      <c r="B106" s="25" t="s">
        <v>160</v>
      </c>
      <c r="C106" s="25"/>
      <c r="D106" s="25"/>
      <c r="E106" s="25"/>
      <c r="F106" s="25"/>
      <c r="G106" s="25"/>
      <c r="H106" s="25"/>
      <c r="I106" s="25"/>
      <c r="J106" s="25"/>
      <c r="K106" s="25"/>
      <c r="L106" s="34">
        <v>0</v>
      </c>
      <c r="M106" s="34"/>
      <c r="N106" s="52"/>
      <c r="O106" s="25"/>
      <c r="P106" s="5"/>
    </row>
    <row r="107" spans="1:16" ht="15.6" x14ac:dyDescent="0.3">
      <c r="A107" s="24"/>
      <c r="B107" s="25" t="s">
        <v>161</v>
      </c>
      <c r="C107" s="25"/>
      <c r="D107" s="25"/>
      <c r="E107" s="25"/>
      <c r="F107" s="25"/>
      <c r="G107" s="25"/>
      <c r="H107" s="25"/>
      <c r="I107" s="25"/>
      <c r="J107" s="25"/>
      <c r="K107" s="25"/>
      <c r="L107" s="34">
        <v>-1171</v>
      </c>
      <c r="M107" s="34"/>
      <c r="N107" s="52"/>
      <c r="O107" s="25"/>
      <c r="P107" s="5"/>
    </row>
    <row r="108" spans="1:16" ht="15.6" x14ac:dyDescent="0.3">
      <c r="A108" s="24"/>
      <c r="B108" s="25" t="s">
        <v>200</v>
      </c>
      <c r="C108" s="25"/>
      <c r="D108" s="25"/>
      <c r="E108" s="25"/>
      <c r="F108" s="25"/>
      <c r="G108" s="25"/>
      <c r="H108" s="25"/>
      <c r="I108" s="25"/>
      <c r="J108" s="25"/>
      <c r="K108" s="25"/>
      <c r="L108" s="34">
        <v>-21274</v>
      </c>
      <c r="M108" s="34"/>
      <c r="N108" s="52"/>
      <c r="O108" s="25"/>
      <c r="P108" s="5"/>
    </row>
    <row r="109" spans="1:16" ht="15.6" x14ac:dyDescent="0.3">
      <c r="A109" s="24"/>
      <c r="B109" s="25" t="s">
        <v>201</v>
      </c>
      <c r="C109" s="25"/>
      <c r="D109" s="25"/>
      <c r="E109" s="25"/>
      <c r="F109" s="25"/>
      <c r="G109" s="25"/>
      <c r="H109" s="25"/>
      <c r="I109" s="25"/>
      <c r="J109" s="25"/>
      <c r="K109" s="25"/>
      <c r="L109" s="34">
        <v>0</v>
      </c>
      <c r="M109" s="34"/>
      <c r="N109" s="52"/>
      <c r="O109" s="25"/>
      <c r="P109" s="5"/>
    </row>
    <row r="110" spans="1:16" ht="15.6" x14ac:dyDescent="0.3">
      <c r="A110" s="24"/>
      <c r="B110" s="25" t="s">
        <v>202</v>
      </c>
      <c r="C110" s="25"/>
      <c r="D110" s="25"/>
      <c r="E110" s="25"/>
      <c r="F110" s="25"/>
      <c r="G110" s="25"/>
      <c r="H110" s="25"/>
      <c r="I110" s="25"/>
      <c r="J110" s="25"/>
      <c r="K110" s="25"/>
      <c r="L110" s="34">
        <v>0</v>
      </c>
      <c r="M110" s="34"/>
      <c r="N110" s="52"/>
      <c r="O110" s="25"/>
      <c r="P110" s="5"/>
    </row>
    <row r="111" spans="1:16" ht="15.6" x14ac:dyDescent="0.3">
      <c r="A111" s="24"/>
      <c r="B111" s="25" t="s">
        <v>36</v>
      </c>
      <c r="C111" s="25"/>
      <c r="D111" s="25"/>
      <c r="E111" s="25"/>
      <c r="F111" s="25"/>
      <c r="G111" s="25"/>
      <c r="H111" s="25"/>
      <c r="I111" s="25"/>
      <c r="J111" s="25"/>
      <c r="K111" s="25"/>
      <c r="L111" s="34">
        <f>SUM(L106:L110)</f>
        <v>-22445</v>
      </c>
      <c r="M111" s="34"/>
      <c r="N111" s="34">
        <f>SUM(N88:N109)</f>
        <v>-5513</v>
      </c>
      <c r="O111" s="25"/>
      <c r="P111" s="5"/>
    </row>
    <row r="112" spans="1:16" ht="15.6" x14ac:dyDescent="0.3">
      <c r="A112" s="24"/>
      <c r="B112" s="25" t="s">
        <v>37</v>
      </c>
      <c r="C112" s="25"/>
      <c r="D112" s="25"/>
      <c r="E112" s="25"/>
      <c r="F112" s="25"/>
      <c r="G112" s="25"/>
      <c r="H112" s="25"/>
      <c r="I112" s="25"/>
      <c r="J112" s="25"/>
      <c r="K112" s="25"/>
      <c r="L112" s="34">
        <f>L87+L111+L98</f>
        <v>0</v>
      </c>
      <c r="M112" s="34"/>
      <c r="N112" s="34">
        <f>N87+N111</f>
        <v>0</v>
      </c>
      <c r="O112" s="25"/>
      <c r="P112" s="5"/>
    </row>
    <row r="113" spans="1:17" ht="15.6" x14ac:dyDescent="0.3">
      <c r="A113" s="24"/>
      <c r="B113" s="25"/>
      <c r="C113" s="25"/>
      <c r="D113" s="25"/>
      <c r="E113" s="25"/>
      <c r="F113" s="25"/>
      <c r="G113" s="25"/>
      <c r="H113" s="25"/>
      <c r="I113" s="25"/>
      <c r="J113" s="25"/>
      <c r="K113" s="25"/>
      <c r="L113" s="34"/>
      <c r="M113" s="34"/>
      <c r="N113" s="34"/>
      <c r="O113" s="25"/>
      <c r="P113" s="5"/>
    </row>
    <row r="114" spans="1:17" ht="15.6" x14ac:dyDescent="0.3">
      <c r="A114" s="6"/>
      <c r="B114" s="8"/>
      <c r="C114" s="8"/>
      <c r="D114" s="8"/>
      <c r="E114" s="8"/>
      <c r="F114" s="8"/>
      <c r="G114" s="8"/>
      <c r="H114" s="8"/>
      <c r="I114" s="8"/>
      <c r="J114" s="8"/>
      <c r="K114" s="8"/>
      <c r="L114" s="8"/>
      <c r="M114" s="8"/>
      <c r="N114" s="51"/>
      <c r="O114" s="8"/>
      <c r="P114" s="5"/>
    </row>
    <row r="115" spans="1:17" ht="18" thickBot="1" x14ac:dyDescent="0.35">
      <c r="A115" s="96"/>
      <c r="B115" s="97" t="str">
        <f>B52</f>
        <v>FF7 INVESTOR REPORT QUARTER ENDING AUGUST 2007</v>
      </c>
      <c r="C115" s="98"/>
      <c r="D115" s="98"/>
      <c r="E115" s="98"/>
      <c r="F115" s="98"/>
      <c r="G115" s="98"/>
      <c r="H115" s="98"/>
      <c r="I115" s="98"/>
      <c r="J115" s="98"/>
      <c r="K115" s="98"/>
      <c r="L115" s="98"/>
      <c r="M115" s="98"/>
      <c r="N115" s="101"/>
      <c r="O115" s="100"/>
      <c r="P115" s="5"/>
    </row>
    <row r="116" spans="1:17" ht="15.6" x14ac:dyDescent="0.3">
      <c r="A116" s="2"/>
      <c r="B116" s="58" t="s">
        <v>38</v>
      </c>
      <c r="C116" s="4"/>
      <c r="D116" s="4"/>
      <c r="E116" s="4"/>
      <c r="F116" s="4"/>
      <c r="G116" s="4"/>
      <c r="H116" s="4"/>
      <c r="I116" s="4"/>
      <c r="J116" s="4"/>
      <c r="K116" s="4"/>
      <c r="L116" s="4"/>
      <c r="M116" s="4"/>
      <c r="N116" s="49"/>
      <c r="O116" s="4"/>
      <c r="P116" s="5"/>
    </row>
    <row r="117" spans="1:17" ht="15.6" x14ac:dyDescent="0.3">
      <c r="A117" s="6"/>
      <c r="B117" s="21"/>
      <c r="C117" s="8"/>
      <c r="D117" s="8"/>
      <c r="E117" s="8"/>
      <c r="F117" s="8"/>
      <c r="G117" s="8"/>
      <c r="H117" s="8"/>
      <c r="I117" s="8"/>
      <c r="J117" s="8"/>
      <c r="K117" s="8"/>
      <c r="L117" s="8"/>
      <c r="M117" s="8"/>
      <c r="N117" s="51"/>
      <c r="O117" s="8"/>
      <c r="P117" s="5"/>
    </row>
    <row r="118" spans="1:17" ht="15.6" x14ac:dyDescent="0.3">
      <c r="A118" s="6"/>
      <c r="B118" s="114" t="s">
        <v>39</v>
      </c>
      <c r="C118" s="8"/>
      <c r="D118" s="8"/>
      <c r="E118" s="8"/>
      <c r="F118" s="8"/>
      <c r="G118" s="8"/>
      <c r="H118" s="8"/>
      <c r="I118" s="8"/>
      <c r="J118" s="8"/>
      <c r="K118" s="8"/>
      <c r="L118" s="8"/>
      <c r="M118" s="8"/>
      <c r="N118" s="51"/>
      <c r="O118" s="8"/>
      <c r="P118" s="5"/>
    </row>
    <row r="119" spans="1:17" ht="15.6" x14ac:dyDescent="0.3">
      <c r="A119" s="24"/>
      <c r="B119" s="25" t="s">
        <v>40</v>
      </c>
      <c r="C119" s="25"/>
      <c r="D119" s="25"/>
      <c r="E119" s="25"/>
      <c r="F119" s="25"/>
      <c r="G119" s="25"/>
      <c r="H119" s="25"/>
      <c r="I119" s="25"/>
      <c r="J119" s="25"/>
      <c r="K119" s="25"/>
      <c r="L119" s="25"/>
      <c r="M119" s="25"/>
      <c r="N119" s="52">
        <f>N28*0.003</f>
        <v>805.80000000000007</v>
      </c>
      <c r="O119" s="25"/>
      <c r="P119" s="5"/>
    </row>
    <row r="120" spans="1:17" ht="15.6" x14ac:dyDescent="0.3">
      <c r="A120" s="24"/>
      <c r="B120" s="25" t="s">
        <v>41</v>
      </c>
      <c r="C120" s="25"/>
      <c r="D120" s="25"/>
      <c r="E120" s="25"/>
      <c r="F120" s="25"/>
      <c r="G120" s="25"/>
      <c r="H120" s="25"/>
      <c r="I120" s="25"/>
      <c r="J120" s="25"/>
      <c r="K120" s="25"/>
      <c r="L120" s="25"/>
      <c r="M120" s="25"/>
      <c r="N120" s="52">
        <v>806</v>
      </c>
      <c r="O120" s="25"/>
      <c r="P120" s="5"/>
    </row>
    <row r="121" spans="1:17" ht="15.6" x14ac:dyDescent="0.3">
      <c r="A121" s="24"/>
      <c r="B121" s="25" t="s">
        <v>132</v>
      </c>
      <c r="C121" s="25"/>
      <c r="D121" s="25"/>
      <c r="E121" s="25"/>
      <c r="F121" s="25"/>
      <c r="G121" s="25"/>
      <c r="H121" s="25"/>
      <c r="I121" s="25"/>
      <c r="J121" s="25"/>
      <c r="K121" s="25"/>
      <c r="L121" s="25"/>
      <c r="M121" s="25"/>
      <c r="N121" s="52">
        <v>0</v>
      </c>
      <c r="O121" s="25"/>
      <c r="P121" s="5"/>
    </row>
    <row r="122" spans="1:17" ht="15.6" x14ac:dyDescent="0.3">
      <c r="A122" s="24"/>
      <c r="B122" s="25" t="s">
        <v>221</v>
      </c>
      <c r="C122" s="25"/>
      <c r="D122" s="25"/>
      <c r="E122" s="25"/>
      <c r="F122" s="25"/>
      <c r="G122" s="25"/>
      <c r="H122" s="25"/>
      <c r="I122" s="25"/>
      <c r="J122" s="25"/>
      <c r="K122" s="25"/>
      <c r="L122" s="25"/>
      <c r="M122" s="25"/>
      <c r="N122" s="52">
        <v>0</v>
      </c>
      <c r="O122" s="25"/>
      <c r="P122" s="5"/>
    </row>
    <row r="123" spans="1:17" ht="15.6" x14ac:dyDescent="0.3">
      <c r="A123" s="24"/>
      <c r="B123" s="25" t="s">
        <v>222</v>
      </c>
      <c r="C123" s="25"/>
      <c r="D123" s="25"/>
      <c r="E123" s="25"/>
      <c r="F123" s="25"/>
      <c r="G123" s="25"/>
      <c r="H123" s="25"/>
      <c r="I123" s="25"/>
      <c r="J123" s="25"/>
      <c r="K123" s="25"/>
      <c r="L123" s="25"/>
      <c r="M123" s="25"/>
      <c r="N123" s="52">
        <v>0</v>
      </c>
      <c r="O123" s="25"/>
      <c r="P123" s="5"/>
    </row>
    <row r="124" spans="1:17" ht="15.6" x14ac:dyDescent="0.3">
      <c r="A124" s="24"/>
      <c r="B124" s="25" t="s">
        <v>223</v>
      </c>
      <c r="C124" s="25"/>
      <c r="D124" s="25"/>
      <c r="E124" s="25"/>
      <c r="F124" s="25"/>
      <c r="G124" s="25"/>
      <c r="H124" s="25"/>
      <c r="I124" s="25"/>
      <c r="J124" s="25"/>
      <c r="K124" s="25"/>
      <c r="L124" s="25"/>
      <c r="M124" s="25"/>
      <c r="N124" s="52">
        <v>0</v>
      </c>
      <c r="O124" s="25"/>
      <c r="P124" s="5"/>
    </row>
    <row r="125" spans="1:17" ht="15.6" x14ac:dyDescent="0.3">
      <c r="A125" s="24"/>
      <c r="B125" s="25" t="s">
        <v>42</v>
      </c>
      <c r="C125" s="25"/>
      <c r="D125" s="25"/>
      <c r="E125" s="25"/>
      <c r="F125" s="25"/>
      <c r="G125" s="25"/>
      <c r="H125" s="25"/>
      <c r="I125" s="25"/>
      <c r="J125" s="25"/>
      <c r="K125" s="25"/>
      <c r="L125" s="25"/>
      <c r="M125" s="25"/>
      <c r="N125" s="52">
        <v>0</v>
      </c>
      <c r="O125" s="25"/>
      <c r="P125" s="5"/>
    </row>
    <row r="126" spans="1:17" ht="15.6" x14ac:dyDescent="0.3">
      <c r="A126" s="24"/>
      <c r="B126" s="25" t="s">
        <v>125</v>
      </c>
      <c r="C126" s="25"/>
      <c r="D126" s="25"/>
      <c r="E126" s="25"/>
      <c r="F126" s="25"/>
      <c r="G126" s="25"/>
      <c r="H126" s="25"/>
      <c r="I126" s="25"/>
      <c r="J126" s="25"/>
      <c r="K126" s="25"/>
      <c r="L126" s="25"/>
      <c r="M126" s="25"/>
      <c r="N126" s="52">
        <v>0</v>
      </c>
      <c r="O126" s="25"/>
      <c r="P126" s="5"/>
    </row>
    <row r="127" spans="1:17" ht="15.6" x14ac:dyDescent="0.3">
      <c r="A127" s="24"/>
      <c r="B127" s="25" t="s">
        <v>225</v>
      </c>
      <c r="C127" s="25"/>
      <c r="D127" s="25"/>
      <c r="E127" s="25"/>
      <c r="F127" s="25"/>
      <c r="G127" s="25"/>
      <c r="H127" s="25"/>
      <c r="I127" s="25"/>
      <c r="J127" s="25"/>
      <c r="K127" s="25"/>
      <c r="L127" s="25"/>
      <c r="M127" s="25"/>
      <c r="N127" s="52">
        <v>0</v>
      </c>
      <c r="O127" s="25"/>
      <c r="P127" s="5"/>
      <c r="Q127" s="104"/>
    </row>
    <row r="128" spans="1:17" ht="15.6" x14ac:dyDescent="0.3">
      <c r="A128" s="24"/>
      <c r="B128" s="25" t="s">
        <v>43</v>
      </c>
      <c r="C128" s="25"/>
      <c r="D128" s="25"/>
      <c r="E128" s="25"/>
      <c r="F128" s="25"/>
      <c r="G128" s="25"/>
      <c r="H128" s="25"/>
      <c r="I128" s="25"/>
      <c r="J128" s="25"/>
      <c r="K128" s="25"/>
      <c r="L128" s="25"/>
      <c r="M128" s="25"/>
      <c r="N128" s="52">
        <f>SUM(N120:N127)</f>
        <v>806</v>
      </c>
      <c r="O128" s="25"/>
      <c r="P128" s="5"/>
    </row>
    <row r="129" spans="1:16" ht="15.6" x14ac:dyDescent="0.3">
      <c r="A129" s="24"/>
      <c r="B129" s="25"/>
      <c r="C129" s="25"/>
      <c r="D129" s="25"/>
      <c r="E129" s="25"/>
      <c r="F129" s="25"/>
      <c r="G129" s="25"/>
      <c r="H129" s="25"/>
      <c r="I129" s="25"/>
      <c r="J129" s="25"/>
      <c r="K129" s="25"/>
      <c r="L129" s="25"/>
      <c r="M129" s="25"/>
      <c r="N129" s="52"/>
      <c r="O129" s="25"/>
      <c r="P129" s="5"/>
    </row>
    <row r="130" spans="1:16" ht="15.6" x14ac:dyDescent="0.3">
      <c r="A130" s="24"/>
      <c r="B130" s="130" t="s">
        <v>179</v>
      </c>
      <c r="C130" s="25"/>
      <c r="D130" s="25"/>
      <c r="E130" s="25"/>
      <c r="F130" s="25"/>
      <c r="G130" s="25"/>
      <c r="H130" s="25"/>
      <c r="I130" s="25"/>
      <c r="J130" s="25"/>
      <c r="K130" s="25"/>
      <c r="L130" s="25"/>
      <c r="M130" s="25"/>
      <c r="N130" s="52"/>
      <c r="O130" s="25"/>
      <c r="P130" s="5"/>
    </row>
    <row r="131" spans="1:16" ht="15.6" x14ac:dyDescent="0.3">
      <c r="A131" s="24"/>
      <c r="B131" s="25" t="s">
        <v>144</v>
      </c>
      <c r="C131" s="25"/>
      <c r="D131" s="25"/>
      <c r="E131" s="25"/>
      <c r="F131" s="25"/>
      <c r="G131" s="25"/>
      <c r="H131" s="25"/>
      <c r="I131" s="25"/>
      <c r="J131" s="25"/>
      <c r="K131" s="25"/>
      <c r="L131" s="25"/>
      <c r="M131" s="25"/>
      <c r="N131" s="52">
        <v>7098</v>
      </c>
      <c r="O131" s="25"/>
      <c r="P131" s="5"/>
    </row>
    <row r="132" spans="1:16" ht="15.6" x14ac:dyDescent="0.3">
      <c r="A132" s="24"/>
      <c r="B132" s="25" t="s">
        <v>159</v>
      </c>
      <c r="C132" s="25"/>
      <c r="D132" s="25"/>
      <c r="E132" s="25"/>
      <c r="F132" s="25"/>
      <c r="G132" s="25"/>
      <c r="H132" s="25"/>
      <c r="I132" s="25"/>
      <c r="J132" s="25"/>
      <c r="K132" s="25"/>
      <c r="L132" s="25"/>
      <c r="M132" s="25"/>
      <c r="N132" s="52">
        <v>0</v>
      </c>
      <c r="O132" s="25"/>
      <c r="P132" s="5"/>
    </row>
    <row r="133" spans="1:16" ht="15.6" x14ac:dyDescent="0.3">
      <c r="A133" s="24"/>
      <c r="B133" s="25" t="s">
        <v>183</v>
      </c>
      <c r="C133" s="25"/>
      <c r="D133" s="25"/>
      <c r="E133" s="25"/>
      <c r="F133" s="25"/>
      <c r="G133" s="25"/>
      <c r="H133" s="25"/>
      <c r="I133" s="25"/>
      <c r="J133" s="25"/>
      <c r="K133" s="25"/>
      <c r="L133" s="25"/>
      <c r="M133" s="25"/>
      <c r="N133" s="52">
        <v>6381</v>
      </c>
      <c r="O133" s="25"/>
      <c r="P133" s="5"/>
    </row>
    <row r="134" spans="1:16" ht="15.6" x14ac:dyDescent="0.3">
      <c r="A134" s="24"/>
      <c r="B134" s="25"/>
      <c r="C134" s="25"/>
      <c r="D134" s="25"/>
      <c r="E134" s="25"/>
      <c r="F134" s="25"/>
      <c r="G134" s="25"/>
      <c r="H134" s="25"/>
      <c r="I134" s="25"/>
      <c r="J134" s="25"/>
      <c r="K134" s="25"/>
      <c r="L134" s="25"/>
      <c r="M134" s="25"/>
      <c r="N134" s="52"/>
      <c r="O134" s="25"/>
      <c r="P134" s="5"/>
    </row>
    <row r="135" spans="1:16" ht="15.6" x14ac:dyDescent="0.3">
      <c r="A135" s="24"/>
      <c r="B135" s="25"/>
      <c r="C135" s="25"/>
      <c r="D135" s="25"/>
      <c r="E135" s="25"/>
      <c r="F135" s="25"/>
      <c r="G135" s="25"/>
      <c r="H135" s="25"/>
      <c r="I135" s="25"/>
      <c r="J135" s="25"/>
      <c r="K135" s="25"/>
      <c r="L135" s="25"/>
      <c r="M135" s="25"/>
      <c r="N135" s="59"/>
      <c r="O135" s="25"/>
      <c r="P135" s="5"/>
    </row>
    <row r="136" spans="1:16" ht="15.6" x14ac:dyDescent="0.3">
      <c r="A136" s="6"/>
      <c r="B136" s="114" t="s">
        <v>22</v>
      </c>
      <c r="C136" s="8"/>
      <c r="D136" s="8"/>
      <c r="E136" s="8"/>
      <c r="F136" s="8"/>
      <c r="G136" s="8"/>
      <c r="H136" s="8"/>
      <c r="I136" s="8"/>
      <c r="J136" s="8"/>
      <c r="K136" s="8"/>
      <c r="L136" s="8"/>
      <c r="M136" s="8"/>
      <c r="N136" s="51"/>
      <c r="O136" s="8"/>
      <c r="P136" s="5"/>
    </row>
    <row r="137" spans="1:16" ht="15.6" x14ac:dyDescent="0.3">
      <c r="A137" s="24"/>
      <c r="B137" s="25" t="s">
        <v>44</v>
      </c>
      <c r="C137" s="25"/>
      <c r="D137" s="25"/>
      <c r="E137" s="25"/>
      <c r="F137" s="25"/>
      <c r="G137" s="25"/>
      <c r="H137" s="25"/>
      <c r="I137" s="25"/>
      <c r="J137" s="25"/>
      <c r="K137" s="25"/>
      <c r="L137" s="25"/>
      <c r="M137" s="25"/>
      <c r="N137" s="57" t="s">
        <v>117</v>
      </c>
      <c r="O137" s="25"/>
      <c r="P137" s="5"/>
    </row>
    <row r="138" spans="1:16" ht="15.6" x14ac:dyDescent="0.3">
      <c r="A138" s="24"/>
      <c r="B138" s="25" t="s">
        <v>45</v>
      </c>
      <c r="C138" s="175"/>
      <c r="D138" s="175"/>
      <c r="E138" s="175"/>
      <c r="F138" s="175"/>
      <c r="G138" s="175"/>
      <c r="H138" s="175"/>
      <c r="I138" s="175"/>
      <c r="J138" s="175"/>
      <c r="K138" s="175"/>
      <c r="L138" s="175"/>
      <c r="M138" s="175"/>
      <c r="N138" s="57" t="s">
        <v>117</v>
      </c>
      <c r="O138" s="25"/>
      <c r="P138" s="5"/>
    </row>
    <row r="139" spans="1:16" ht="15.6" x14ac:dyDescent="0.3">
      <c r="A139" s="24"/>
      <c r="B139" s="25" t="s">
        <v>46</v>
      </c>
      <c r="C139" s="25"/>
      <c r="D139" s="25"/>
      <c r="E139" s="25"/>
      <c r="F139" s="25"/>
      <c r="G139" s="25"/>
      <c r="H139" s="25"/>
      <c r="I139" s="25"/>
      <c r="J139" s="25"/>
      <c r="K139" s="25"/>
      <c r="L139" s="25"/>
      <c r="M139" s="25"/>
      <c r="N139" s="57" t="s">
        <v>117</v>
      </c>
      <c r="O139" s="25"/>
      <c r="P139" s="5"/>
    </row>
    <row r="140" spans="1:16" ht="15.6" x14ac:dyDescent="0.3">
      <c r="A140" s="24"/>
      <c r="B140" s="25" t="s">
        <v>47</v>
      </c>
      <c r="C140" s="25"/>
      <c r="D140" s="25"/>
      <c r="E140" s="25"/>
      <c r="F140" s="25"/>
      <c r="G140" s="25"/>
      <c r="H140" s="25"/>
      <c r="I140" s="25"/>
      <c r="J140" s="25"/>
      <c r="K140" s="25"/>
      <c r="L140" s="25"/>
      <c r="M140" s="25"/>
      <c r="N140" s="57" t="s">
        <v>117</v>
      </c>
      <c r="O140" s="25"/>
      <c r="P140" s="5"/>
    </row>
    <row r="141" spans="1:16" ht="15.6" x14ac:dyDescent="0.3">
      <c r="A141" s="24"/>
      <c r="B141" s="25"/>
      <c r="C141" s="25"/>
      <c r="D141" s="25"/>
      <c r="E141" s="25"/>
      <c r="F141" s="25"/>
      <c r="G141" s="25"/>
      <c r="H141" s="25"/>
      <c r="I141" s="25"/>
      <c r="J141" s="25"/>
      <c r="K141" s="25"/>
      <c r="L141" s="25"/>
      <c r="M141" s="25"/>
      <c r="N141" s="59"/>
      <c r="O141" s="25"/>
      <c r="P141" s="5"/>
    </row>
    <row r="142" spans="1:16" ht="15.6" x14ac:dyDescent="0.3">
      <c r="A142" s="6"/>
      <c r="B142" s="114" t="s">
        <v>48</v>
      </c>
      <c r="C142" s="8"/>
      <c r="D142" s="8"/>
      <c r="E142" s="8"/>
      <c r="F142" s="8"/>
      <c r="G142" s="8"/>
      <c r="H142" s="8"/>
      <c r="I142" s="8"/>
      <c r="J142" s="8"/>
      <c r="K142" s="8"/>
      <c r="L142" s="8"/>
      <c r="M142" s="8"/>
      <c r="N142" s="61"/>
      <c r="O142" s="8"/>
      <c r="P142" s="5"/>
    </row>
    <row r="143" spans="1:16" ht="15.6" x14ac:dyDescent="0.3">
      <c r="A143" s="24"/>
      <c r="B143" s="25" t="s">
        <v>49</v>
      </c>
      <c r="C143" s="25"/>
      <c r="D143" s="25"/>
      <c r="E143" s="25"/>
      <c r="F143" s="25"/>
      <c r="G143" s="25"/>
      <c r="H143" s="25"/>
      <c r="I143" s="25"/>
      <c r="J143" s="25"/>
      <c r="K143" s="25"/>
      <c r="L143" s="25"/>
      <c r="M143" s="25"/>
      <c r="N143" s="52">
        <v>0</v>
      </c>
      <c r="O143" s="25"/>
      <c r="P143" s="5"/>
    </row>
    <row r="144" spans="1:16" ht="15.6" x14ac:dyDescent="0.3">
      <c r="A144" s="24"/>
      <c r="B144" s="25" t="s">
        <v>50</v>
      </c>
      <c r="C144" s="25"/>
      <c r="D144" s="25"/>
      <c r="E144" s="25"/>
      <c r="F144" s="25"/>
      <c r="G144" s="25"/>
      <c r="H144" s="25"/>
      <c r="I144" s="25"/>
      <c r="J144" s="25"/>
      <c r="K144" s="25"/>
      <c r="L144" s="25"/>
      <c r="M144" s="25"/>
      <c r="N144" s="52">
        <f>L98</f>
        <v>-8</v>
      </c>
      <c r="O144" s="25"/>
      <c r="P144" s="5"/>
    </row>
    <row r="145" spans="1:256" ht="15.6" x14ac:dyDescent="0.3">
      <c r="A145" s="24"/>
      <c r="B145" s="25" t="s">
        <v>51</v>
      </c>
      <c r="C145" s="25"/>
      <c r="D145" s="25"/>
      <c r="E145" s="25"/>
      <c r="F145" s="25"/>
      <c r="G145" s="25"/>
      <c r="H145" s="25"/>
      <c r="I145" s="25"/>
      <c r="J145" s="25"/>
      <c r="K145" s="25"/>
      <c r="L145" s="25"/>
      <c r="M145" s="25"/>
      <c r="N145" s="52">
        <f>N144+N143</f>
        <v>-8</v>
      </c>
      <c r="O145" s="25"/>
      <c r="P145" s="5"/>
    </row>
    <row r="146" spans="1:256" ht="15.6" x14ac:dyDescent="0.3">
      <c r="A146" s="24"/>
      <c r="B146" s="25" t="s">
        <v>264</v>
      </c>
      <c r="C146" s="25"/>
      <c r="D146" s="25"/>
      <c r="E146" s="25"/>
      <c r="F146" s="25"/>
      <c r="G146" s="25"/>
      <c r="H146" s="25"/>
      <c r="I146" s="25"/>
      <c r="J146" s="25"/>
      <c r="K146" s="25"/>
      <c r="L146" s="25"/>
      <c r="M146" s="25"/>
      <c r="N146" s="52">
        <f>N98</f>
        <v>8</v>
      </c>
      <c r="O146" s="25"/>
      <c r="P146" s="5"/>
    </row>
    <row r="147" spans="1:256" ht="15.6" x14ac:dyDescent="0.3">
      <c r="A147" s="24"/>
      <c r="B147" s="25" t="s">
        <v>52</v>
      </c>
      <c r="C147" s="25"/>
      <c r="D147" s="25"/>
      <c r="E147" s="25"/>
      <c r="F147" s="25"/>
      <c r="G147" s="25"/>
      <c r="H147" s="25"/>
      <c r="I147" s="25"/>
      <c r="J147" s="25"/>
      <c r="K147" s="25"/>
      <c r="L147" s="25"/>
      <c r="M147" s="25"/>
      <c r="N147" s="52">
        <f>N145+N146</f>
        <v>0</v>
      </c>
      <c r="O147" s="25"/>
      <c r="P147" s="5"/>
    </row>
    <row r="148" spans="1:256" ht="16.2" thickBot="1" x14ac:dyDescent="0.35">
      <c r="A148" s="24"/>
      <c r="B148" s="25"/>
      <c r="C148" s="25"/>
      <c r="D148" s="25"/>
      <c r="E148" s="25"/>
      <c r="F148" s="25"/>
      <c r="G148" s="25"/>
      <c r="H148" s="25"/>
      <c r="I148" s="25"/>
      <c r="J148" s="25"/>
      <c r="K148" s="25"/>
      <c r="L148" s="25"/>
      <c r="M148" s="25"/>
      <c r="N148" s="59"/>
      <c r="O148" s="25"/>
      <c r="P148" s="5"/>
    </row>
    <row r="149" spans="1:256" ht="15.6" x14ac:dyDescent="0.3">
      <c r="A149" s="2"/>
      <c r="B149" s="4"/>
      <c r="C149" s="4"/>
      <c r="D149" s="4"/>
      <c r="E149" s="4"/>
      <c r="F149" s="4"/>
      <c r="G149" s="4"/>
      <c r="H149" s="4"/>
      <c r="I149" s="4"/>
      <c r="J149" s="4"/>
      <c r="K149" s="4"/>
      <c r="L149" s="4"/>
      <c r="M149" s="4"/>
      <c r="N149" s="49"/>
      <c r="O149" s="4"/>
      <c r="P149" s="5"/>
    </row>
    <row r="150" spans="1:256" ht="15.6" x14ac:dyDescent="0.3">
      <c r="A150" s="6"/>
      <c r="B150" s="114" t="s">
        <v>53</v>
      </c>
      <c r="C150" s="8"/>
      <c r="D150" s="8"/>
      <c r="E150" s="8"/>
      <c r="F150" s="8"/>
      <c r="G150" s="8"/>
      <c r="H150" s="8"/>
      <c r="I150" s="8"/>
      <c r="J150" s="8"/>
      <c r="K150" s="8"/>
      <c r="L150" s="8"/>
      <c r="M150" s="8"/>
      <c r="N150" s="51"/>
      <c r="O150" s="8"/>
      <c r="P150" s="5"/>
    </row>
    <row r="151" spans="1:256" ht="15.6" x14ac:dyDescent="0.3">
      <c r="A151" s="6"/>
      <c r="B151" s="21"/>
      <c r="C151" s="8"/>
      <c r="D151" s="8"/>
      <c r="E151" s="8"/>
      <c r="F151" s="8"/>
      <c r="G151" s="8"/>
      <c r="H151" s="8"/>
      <c r="I151" s="8"/>
      <c r="J151" s="8"/>
      <c r="K151" s="8"/>
      <c r="L151" s="8"/>
      <c r="M151" s="8"/>
      <c r="N151" s="51"/>
      <c r="O151" s="8"/>
      <c r="P151" s="5"/>
    </row>
    <row r="152" spans="1:256" ht="15.6" x14ac:dyDescent="0.3">
      <c r="A152" s="24"/>
      <c r="B152" s="25" t="s">
        <v>234</v>
      </c>
      <c r="C152" s="25"/>
      <c r="D152" s="25"/>
      <c r="E152" s="25"/>
      <c r="F152" s="25"/>
      <c r="G152" s="25"/>
      <c r="H152" s="25"/>
      <c r="I152" s="25"/>
      <c r="J152" s="25"/>
      <c r="K152" s="25"/>
      <c r="L152" s="25"/>
      <c r="M152" s="25"/>
      <c r="N152" s="52">
        <f>N57</f>
        <v>214911</v>
      </c>
      <c r="O152" s="25"/>
      <c r="P152" s="5"/>
      <c r="Q152" s="104"/>
    </row>
    <row r="153" spans="1:256" ht="15.6" x14ac:dyDescent="0.3">
      <c r="A153" s="24"/>
      <c r="B153" s="25" t="s">
        <v>54</v>
      </c>
      <c r="C153" s="25"/>
      <c r="D153" s="25"/>
      <c r="E153" s="25"/>
      <c r="F153" s="25"/>
      <c r="G153" s="25"/>
      <c r="H153" s="25"/>
      <c r="I153" s="25"/>
      <c r="J153" s="25"/>
      <c r="K153" s="25"/>
      <c r="L153" s="25"/>
      <c r="M153" s="25"/>
      <c r="N153" s="52">
        <f>N73</f>
        <v>214911</v>
      </c>
      <c r="O153" s="25"/>
      <c r="P153" s="5"/>
    </row>
    <row r="154" spans="1:256" ht="16.2" thickBot="1" x14ac:dyDescent="0.35">
      <c r="A154" s="24"/>
      <c r="B154" s="25"/>
      <c r="C154" s="25"/>
      <c r="D154" s="25"/>
      <c r="E154" s="25"/>
      <c r="F154" s="25"/>
      <c r="G154" s="25"/>
      <c r="H154" s="25"/>
      <c r="I154" s="25"/>
      <c r="J154" s="25"/>
      <c r="K154" s="25"/>
      <c r="L154" s="25"/>
      <c r="M154" s="25"/>
      <c r="N154" s="59"/>
      <c r="O154" s="25"/>
      <c r="P154" s="5"/>
    </row>
    <row r="155" spans="1:256" s="150" customFormat="1" ht="15.6" x14ac:dyDescent="0.3">
      <c r="A155" s="2"/>
      <c r="B155" s="4"/>
      <c r="C155" s="4"/>
      <c r="D155" s="4"/>
      <c r="E155" s="4"/>
      <c r="F155" s="4"/>
      <c r="G155" s="4"/>
      <c r="H155" s="4"/>
      <c r="I155" s="4"/>
      <c r="J155" s="4"/>
      <c r="K155" s="4"/>
      <c r="L155" s="4"/>
      <c r="M155" s="4"/>
      <c r="N155" s="49"/>
      <c r="O155" s="4"/>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6"/>
      <c r="B156" s="160" t="s">
        <v>205</v>
      </c>
      <c r="C156" s="151"/>
      <c r="D156" s="151"/>
      <c r="E156" s="151"/>
      <c r="F156" s="151"/>
      <c r="G156" s="151"/>
      <c r="H156" s="151"/>
      <c r="I156" s="151"/>
      <c r="J156" s="151"/>
      <c r="K156" s="151"/>
      <c r="L156" s="151"/>
      <c r="M156" s="151"/>
      <c r="N156" s="152"/>
      <c r="O156" s="151"/>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6.2" thickBot="1" x14ac:dyDescent="0.35">
      <c r="A157" s="6"/>
      <c r="B157" s="151"/>
      <c r="C157" s="151"/>
      <c r="D157" s="151"/>
      <c r="E157" s="151"/>
      <c r="F157" s="151"/>
      <c r="G157" s="151"/>
      <c r="H157" s="151"/>
      <c r="I157" s="151"/>
      <c r="J157" s="151"/>
      <c r="K157" s="151"/>
      <c r="L157" s="151"/>
      <c r="M157" s="151"/>
      <c r="N157" s="152"/>
      <c r="O157" s="151"/>
      <c r="P157" s="5"/>
    </row>
    <row r="158" spans="1:256" s="156" customFormat="1" ht="15.6" x14ac:dyDescent="0.3">
      <c r="A158" s="154"/>
      <c r="B158" s="155" t="s">
        <v>206</v>
      </c>
      <c r="C158" s="155"/>
      <c r="D158" s="155"/>
      <c r="E158" s="155"/>
      <c r="F158" s="155"/>
      <c r="G158" s="155"/>
      <c r="H158" s="155"/>
      <c r="I158" s="155"/>
      <c r="J158" s="155"/>
      <c r="K158" s="155"/>
      <c r="L158" s="155"/>
      <c r="M158" s="155"/>
      <c r="N158" s="164">
        <v>688</v>
      </c>
      <c r="O158" s="155"/>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6"/>
      <c r="B159" s="151" t="s">
        <v>207</v>
      </c>
      <c r="C159" s="151"/>
      <c r="D159" s="151"/>
      <c r="E159" s="151"/>
      <c r="F159" s="151"/>
      <c r="G159" s="151"/>
      <c r="H159" s="151"/>
      <c r="I159" s="151"/>
      <c r="J159" s="151"/>
      <c r="K159" s="151"/>
      <c r="L159" s="151"/>
      <c r="M159" s="151"/>
      <c r="N159" s="165">
        <v>40</v>
      </c>
      <c r="O159" s="151"/>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161"/>
      <c r="B160" s="162" t="s">
        <v>208</v>
      </c>
      <c r="C160" s="162"/>
      <c r="D160" s="162"/>
      <c r="E160" s="162"/>
      <c r="F160" s="162"/>
      <c r="G160" s="162"/>
      <c r="H160" s="162"/>
      <c r="I160" s="162"/>
      <c r="J160" s="162"/>
      <c r="K160" s="162"/>
      <c r="L160" s="162"/>
      <c r="M160" s="162"/>
      <c r="N160" s="166">
        <v>0</v>
      </c>
      <c r="O160" s="162"/>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157"/>
      <c r="B161" s="158" t="s">
        <v>217</v>
      </c>
      <c r="C161" s="158"/>
      <c r="D161" s="158"/>
      <c r="E161" s="158"/>
      <c r="F161" s="158"/>
      <c r="G161" s="158"/>
      <c r="H161" s="158"/>
      <c r="I161" s="158"/>
      <c r="J161" s="158"/>
      <c r="K161" s="158"/>
      <c r="L161" s="158"/>
      <c r="M161" s="158"/>
      <c r="N161" s="167">
        <f>N158-N159-N160</f>
        <v>648</v>
      </c>
      <c r="O161" s="158"/>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57"/>
      <c r="B162" s="158"/>
      <c r="C162" s="158"/>
      <c r="D162" s="158"/>
      <c r="E162" s="158"/>
      <c r="F162" s="158"/>
      <c r="G162" s="158"/>
      <c r="H162" s="158"/>
      <c r="I162" s="158"/>
      <c r="J162" s="158"/>
      <c r="K162" s="158"/>
      <c r="L162" s="158"/>
      <c r="M162" s="158"/>
      <c r="N162" s="167"/>
      <c r="O162" s="15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168"/>
      <c r="B163" s="169"/>
      <c r="C163" s="169"/>
      <c r="D163" s="169"/>
      <c r="E163" s="169"/>
      <c r="F163" s="169"/>
      <c r="G163" s="169"/>
      <c r="H163" s="169"/>
      <c r="I163" s="169"/>
      <c r="J163" s="169"/>
      <c r="K163" s="169"/>
      <c r="L163" s="169"/>
      <c r="M163" s="169"/>
      <c r="N163" s="170"/>
      <c r="O163" s="169"/>
      <c r="P163" s="172"/>
    </row>
    <row r="164" spans="1:256" ht="15.6" x14ac:dyDescent="0.3">
      <c r="A164" s="6"/>
      <c r="B164" s="114" t="s">
        <v>55</v>
      </c>
      <c r="C164" s="112"/>
      <c r="D164" s="115"/>
      <c r="E164" s="115"/>
      <c r="F164" s="115"/>
      <c r="G164" s="115"/>
      <c r="H164" s="115"/>
      <c r="I164" s="115"/>
      <c r="J164" s="115"/>
      <c r="K164" s="115" t="s">
        <v>98</v>
      </c>
      <c r="L164" s="115" t="s">
        <v>226</v>
      </c>
      <c r="M164" s="106"/>
      <c r="N164" s="116" t="s">
        <v>114</v>
      </c>
      <c r="O164" s="10"/>
      <c r="P164" s="5"/>
    </row>
    <row r="165" spans="1:256" ht="15.6" x14ac:dyDescent="0.3">
      <c r="A165" s="24"/>
      <c r="B165" s="25" t="s">
        <v>56</v>
      </c>
      <c r="C165" s="25"/>
      <c r="D165" s="25"/>
      <c r="E165" s="25"/>
      <c r="F165" s="25"/>
      <c r="G165" s="25"/>
      <c r="H165" s="25"/>
      <c r="I165" s="25"/>
      <c r="J165" s="25"/>
      <c r="K165" s="52" t="s">
        <v>117</v>
      </c>
      <c r="L165" s="40" t="s">
        <v>117</v>
      </c>
      <c r="M165" s="25"/>
      <c r="N165" s="52"/>
      <c r="O165" s="25"/>
      <c r="P165" s="5"/>
    </row>
    <row r="166" spans="1:256" ht="15.6" x14ac:dyDescent="0.3">
      <c r="A166" s="24"/>
      <c r="B166" s="25" t="s">
        <v>57</v>
      </c>
      <c r="C166" s="25"/>
      <c r="D166" s="25"/>
      <c r="E166" s="25"/>
      <c r="F166" s="25"/>
      <c r="G166" s="25"/>
      <c r="H166" s="25"/>
      <c r="I166" s="25"/>
      <c r="J166" s="25"/>
      <c r="K166" s="52">
        <v>0</v>
      </c>
      <c r="L166" s="52">
        <f>+'May 07'!L168</f>
        <v>2453</v>
      </c>
      <c r="M166" s="25"/>
      <c r="N166" s="52">
        <f>K166+L166</f>
        <v>2453</v>
      </c>
      <c r="O166" s="25"/>
      <c r="P166" s="5"/>
    </row>
    <row r="167" spans="1:256" ht="15.6" x14ac:dyDescent="0.3">
      <c r="A167" s="24"/>
      <c r="B167" s="25" t="s">
        <v>58</v>
      </c>
      <c r="C167" s="25"/>
      <c r="D167" s="25"/>
      <c r="E167" s="25"/>
      <c r="F167" s="25"/>
      <c r="G167" s="25"/>
      <c r="H167" s="25"/>
      <c r="I167" s="25"/>
      <c r="J167" s="25"/>
      <c r="K167" s="34">
        <v>0</v>
      </c>
      <c r="L167" s="34">
        <v>1171</v>
      </c>
      <c r="M167" s="25"/>
      <c r="N167" s="52">
        <f>K167+L167</f>
        <v>1171</v>
      </c>
      <c r="O167" s="25"/>
      <c r="P167" s="5"/>
    </row>
    <row r="168" spans="1:256" ht="15.6" x14ac:dyDescent="0.3">
      <c r="A168" s="24"/>
      <c r="B168" s="25" t="s">
        <v>59</v>
      </c>
      <c r="C168" s="25"/>
      <c r="D168" s="25"/>
      <c r="E168" s="25"/>
      <c r="F168" s="25"/>
      <c r="G168" s="25"/>
      <c r="H168" s="25"/>
      <c r="I168" s="25"/>
      <c r="J168" s="25"/>
      <c r="K168" s="52">
        <f>K166+K167</f>
        <v>0</v>
      </c>
      <c r="L168" s="52">
        <f>L167+L166</f>
        <v>3624</v>
      </c>
      <c r="M168" s="25"/>
      <c r="N168" s="52">
        <f>K168+L168</f>
        <v>3624</v>
      </c>
      <c r="O168" s="25"/>
      <c r="P168" s="5"/>
    </row>
    <row r="169" spans="1:256" ht="15.6" x14ac:dyDescent="0.3">
      <c r="A169" s="24"/>
      <c r="B169" s="25" t="s">
        <v>60</v>
      </c>
      <c r="C169" s="25"/>
      <c r="D169" s="25"/>
      <c r="E169" s="25"/>
      <c r="F169" s="25"/>
      <c r="G169" s="25"/>
      <c r="H169" s="25"/>
      <c r="I169" s="25"/>
      <c r="J169" s="25"/>
      <c r="K169" s="52" t="s">
        <v>117</v>
      </c>
      <c r="L169" s="40" t="s">
        <v>117</v>
      </c>
      <c r="M169" s="25"/>
      <c r="N169" s="52"/>
      <c r="O169" s="25"/>
      <c r="P169" s="5"/>
    </row>
    <row r="170" spans="1:256" ht="16.2" thickBot="1" x14ac:dyDescent="0.35">
      <c r="A170" s="24"/>
      <c r="B170" s="25"/>
      <c r="C170" s="25"/>
      <c r="D170" s="25"/>
      <c r="E170" s="25"/>
      <c r="F170" s="25"/>
      <c r="G170" s="25"/>
      <c r="H170" s="25"/>
      <c r="I170" s="25"/>
      <c r="J170" s="25"/>
      <c r="K170" s="25"/>
      <c r="L170" s="25"/>
      <c r="M170" s="25"/>
      <c r="N170" s="59"/>
      <c r="O170" s="25"/>
      <c r="P170" s="5"/>
    </row>
    <row r="171" spans="1:256" ht="15.6" x14ac:dyDescent="0.3">
      <c r="A171" s="2"/>
      <c r="B171" s="4"/>
      <c r="C171" s="4"/>
      <c r="D171" s="4"/>
      <c r="E171" s="4"/>
      <c r="F171" s="4"/>
      <c r="G171" s="4"/>
      <c r="H171" s="4"/>
      <c r="I171" s="4"/>
      <c r="J171" s="4"/>
      <c r="K171" s="4"/>
      <c r="L171" s="4"/>
      <c r="M171" s="4"/>
      <c r="N171" s="49"/>
      <c r="O171" s="4"/>
      <c r="P171" s="5"/>
    </row>
    <row r="172" spans="1:256" ht="15.6" x14ac:dyDescent="0.3">
      <c r="A172" s="6"/>
      <c r="B172" s="114" t="s">
        <v>61</v>
      </c>
      <c r="C172" s="8"/>
      <c r="D172" s="8"/>
      <c r="E172" s="8"/>
      <c r="F172" s="8"/>
      <c r="G172" s="8"/>
      <c r="H172" s="8"/>
      <c r="I172" s="8"/>
      <c r="J172" s="8"/>
      <c r="K172" s="8"/>
      <c r="L172" s="8"/>
      <c r="M172" s="8"/>
      <c r="N172" s="63"/>
      <c r="O172" s="8"/>
      <c r="P172" s="5"/>
    </row>
    <row r="173" spans="1:256" ht="15.6" x14ac:dyDescent="0.3">
      <c r="A173" s="24"/>
      <c r="B173" s="25" t="s">
        <v>62</v>
      </c>
      <c r="C173" s="25"/>
      <c r="D173" s="25"/>
      <c r="E173" s="25"/>
      <c r="F173" s="25"/>
      <c r="G173" s="25"/>
      <c r="H173" s="25"/>
      <c r="I173" s="25"/>
      <c r="J173" s="25"/>
      <c r="K173" s="25"/>
      <c r="L173" s="25"/>
      <c r="M173" s="25"/>
      <c r="N173" s="57">
        <f>(N87+N89+N90+N91+N92)/-N93</f>
        <v>1.5409181636726548</v>
      </c>
      <c r="O173" s="25" t="s">
        <v>115</v>
      </c>
      <c r="P173" s="5"/>
    </row>
    <row r="174" spans="1:256" ht="15.6" x14ac:dyDescent="0.3">
      <c r="A174" s="24"/>
      <c r="B174" s="25" t="s">
        <v>63</v>
      </c>
      <c r="C174" s="25"/>
      <c r="D174" s="25"/>
      <c r="E174" s="25"/>
      <c r="F174" s="25"/>
      <c r="G174" s="25"/>
      <c r="H174" s="25"/>
      <c r="I174" s="25"/>
      <c r="J174" s="25"/>
      <c r="K174" s="25"/>
      <c r="L174" s="25"/>
      <c r="M174" s="25"/>
      <c r="N174" s="64">
        <v>1.43</v>
      </c>
      <c r="O174" s="25" t="s">
        <v>115</v>
      </c>
      <c r="P174" s="5"/>
    </row>
    <row r="175" spans="1:256" ht="15.6" x14ac:dyDescent="0.3">
      <c r="A175" s="24"/>
      <c r="B175" s="25" t="s">
        <v>64</v>
      </c>
      <c r="C175" s="25"/>
      <c r="D175" s="25"/>
      <c r="E175" s="25"/>
      <c r="F175" s="25"/>
      <c r="G175" s="25"/>
      <c r="H175" s="25"/>
      <c r="I175" s="25"/>
      <c r="J175" s="25"/>
      <c r="K175" s="25"/>
      <c r="L175" s="25"/>
      <c r="M175" s="25"/>
      <c r="N175" s="57">
        <f>(N87+N89+N90+N91+N92+N93)/-N95</f>
        <v>30.111111111111111</v>
      </c>
      <c r="O175" s="25" t="s">
        <v>115</v>
      </c>
      <c r="P175" s="5"/>
    </row>
    <row r="176" spans="1:256" ht="15.6" x14ac:dyDescent="0.3">
      <c r="A176" s="24"/>
      <c r="B176" s="25" t="s">
        <v>65</v>
      </c>
      <c r="C176" s="25"/>
      <c r="D176" s="25"/>
      <c r="E176" s="25"/>
      <c r="F176" s="25"/>
      <c r="G176" s="25"/>
      <c r="H176" s="25"/>
      <c r="I176" s="25"/>
      <c r="J176" s="25"/>
      <c r="K176" s="25"/>
      <c r="L176" s="25"/>
      <c r="M176" s="25"/>
      <c r="N176" s="64">
        <v>26.14</v>
      </c>
      <c r="O176" s="25" t="s">
        <v>115</v>
      </c>
      <c r="P176" s="5"/>
    </row>
    <row r="177" spans="1:16" ht="15.6" x14ac:dyDescent="0.3">
      <c r="A177" s="24"/>
      <c r="B177" s="25" t="s">
        <v>166</v>
      </c>
      <c r="C177" s="25"/>
      <c r="D177" s="25"/>
      <c r="E177" s="25"/>
      <c r="F177" s="25"/>
      <c r="G177" s="25"/>
      <c r="H177" s="25"/>
      <c r="I177" s="25"/>
      <c r="J177" s="25"/>
      <c r="K177" s="25"/>
      <c r="L177" s="25"/>
      <c r="M177" s="25"/>
      <c r="N177" s="57">
        <f>(N87+N89+N90+N91+N92+N93+N95)/-N96</f>
        <v>28.65625</v>
      </c>
      <c r="O177" s="25" t="s">
        <v>115</v>
      </c>
      <c r="P177" s="5"/>
    </row>
    <row r="178" spans="1:16" ht="15.6" x14ac:dyDescent="0.3">
      <c r="A178" s="24"/>
      <c r="B178" s="25" t="s">
        <v>167</v>
      </c>
      <c r="C178" s="25"/>
      <c r="D178" s="25"/>
      <c r="E178" s="25"/>
      <c r="F178" s="25"/>
      <c r="G178" s="25"/>
      <c r="H178" s="25"/>
      <c r="I178" s="25"/>
      <c r="J178" s="25"/>
      <c r="K178" s="25"/>
      <c r="L178" s="25"/>
      <c r="M178" s="25"/>
      <c r="N178" s="64">
        <v>24.66</v>
      </c>
      <c r="O178" s="25" t="s">
        <v>115</v>
      </c>
      <c r="P178" s="5"/>
    </row>
    <row r="179" spans="1:16" ht="15.6" x14ac:dyDescent="0.3">
      <c r="A179" s="24"/>
      <c r="B179" s="25"/>
      <c r="C179" s="25"/>
      <c r="D179" s="25"/>
      <c r="E179" s="25"/>
      <c r="F179" s="25"/>
      <c r="G179" s="25"/>
      <c r="H179" s="25"/>
      <c r="I179" s="25"/>
      <c r="J179" s="25"/>
      <c r="K179" s="25"/>
      <c r="L179" s="25"/>
      <c r="M179" s="25"/>
      <c r="N179" s="25"/>
      <c r="O179" s="25"/>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6"/>
      <c r="B181" s="8"/>
      <c r="C181" s="8"/>
      <c r="D181" s="8"/>
      <c r="E181" s="8"/>
      <c r="F181" s="8"/>
      <c r="G181" s="8"/>
      <c r="H181" s="8"/>
      <c r="I181" s="8"/>
      <c r="J181" s="8"/>
      <c r="K181" s="8"/>
      <c r="L181" s="8"/>
      <c r="M181" s="8"/>
      <c r="N181" s="8"/>
      <c r="O181" s="8"/>
      <c r="P181" s="5"/>
    </row>
    <row r="182" spans="1:16" ht="18" thickBot="1" x14ac:dyDescent="0.35">
      <c r="A182" s="96"/>
      <c r="B182" s="97" t="str">
        <f>B115</f>
        <v>FF7 INVESTOR REPORT QUARTER ENDING AUGUST 2007</v>
      </c>
      <c r="C182" s="177"/>
      <c r="D182" s="177"/>
      <c r="E182" s="177"/>
      <c r="F182" s="177"/>
      <c r="G182" s="177"/>
      <c r="H182" s="177"/>
      <c r="I182" s="177"/>
      <c r="J182" s="177"/>
      <c r="K182" s="177"/>
      <c r="L182" s="177"/>
      <c r="M182" s="177"/>
      <c r="N182" s="177"/>
      <c r="O182" s="178"/>
      <c r="P182" s="5"/>
    </row>
    <row r="183" spans="1:16" ht="15.6" x14ac:dyDescent="0.3">
      <c r="A183" s="65"/>
      <c r="B183" s="58" t="s">
        <v>66</v>
      </c>
      <c r="C183" s="66"/>
      <c r="D183" s="67"/>
      <c r="E183" s="67"/>
      <c r="F183" s="67"/>
      <c r="G183" s="67"/>
      <c r="H183" s="67"/>
      <c r="I183" s="67"/>
      <c r="J183" s="67"/>
      <c r="K183" s="67"/>
      <c r="L183" s="68">
        <v>39325</v>
      </c>
      <c r="M183" s="4"/>
      <c r="N183" s="4"/>
      <c r="O183" s="4"/>
      <c r="P183" s="5"/>
    </row>
    <row r="184" spans="1:16" ht="15.6" x14ac:dyDescent="0.3">
      <c r="A184" s="69"/>
      <c r="B184" s="70"/>
      <c r="C184" s="71"/>
      <c r="D184" s="72"/>
      <c r="E184" s="72"/>
      <c r="F184" s="72"/>
      <c r="G184" s="72"/>
      <c r="H184" s="72"/>
      <c r="I184" s="72"/>
      <c r="J184" s="72"/>
      <c r="K184" s="72"/>
      <c r="L184" s="72"/>
      <c r="M184" s="8"/>
      <c r="N184" s="8"/>
      <c r="O184" s="8"/>
      <c r="P184" s="5"/>
    </row>
    <row r="185" spans="1:16" ht="15.6" x14ac:dyDescent="0.3">
      <c r="A185" s="73"/>
      <c r="B185" s="74" t="s">
        <v>67</v>
      </c>
      <c r="C185" s="75"/>
      <c r="D185" s="62"/>
      <c r="E185" s="62"/>
      <c r="F185" s="62"/>
      <c r="G185" s="62"/>
      <c r="H185" s="62"/>
      <c r="I185" s="62"/>
      <c r="J185" s="62"/>
      <c r="K185" s="62"/>
      <c r="L185" s="76">
        <v>7.2950000000000001E-2</v>
      </c>
      <c r="M185" s="25"/>
      <c r="N185" s="25"/>
      <c r="O185" s="25"/>
      <c r="P185" s="5"/>
    </row>
    <row r="186" spans="1:16" ht="15.6" x14ac:dyDescent="0.3">
      <c r="A186" s="73"/>
      <c r="B186" s="74" t="s">
        <v>213</v>
      </c>
      <c r="C186" s="75"/>
      <c r="D186" s="62"/>
      <c r="E186" s="62"/>
      <c r="F186" s="62"/>
      <c r="G186" s="62"/>
      <c r="H186" s="62"/>
      <c r="I186" s="62"/>
      <c r="J186" s="62"/>
      <c r="K186" s="62"/>
      <c r="L186" s="39">
        <v>5.79E-2</v>
      </c>
      <c r="M186" s="25"/>
      <c r="N186" s="25"/>
      <c r="O186" s="25"/>
      <c r="P186" s="5"/>
    </row>
    <row r="187" spans="1:16" ht="15.6" x14ac:dyDescent="0.3">
      <c r="A187" s="73"/>
      <c r="B187" s="74" t="s">
        <v>68</v>
      </c>
      <c r="C187" s="75"/>
      <c r="D187" s="62"/>
      <c r="E187" s="62"/>
      <c r="F187" s="62"/>
      <c r="G187" s="62"/>
      <c r="H187" s="62"/>
      <c r="I187" s="62"/>
      <c r="J187" s="62"/>
      <c r="K187" s="62"/>
      <c r="L187" s="76">
        <f>L185-L186</f>
        <v>1.5050000000000001E-2</v>
      </c>
      <c r="M187" s="25"/>
      <c r="N187" s="25"/>
      <c r="O187" s="25"/>
      <c r="P187" s="5"/>
    </row>
    <row r="188" spans="1:16" ht="15.6" x14ac:dyDescent="0.3">
      <c r="A188" s="73"/>
      <c r="B188" s="74" t="s">
        <v>69</v>
      </c>
      <c r="C188" s="75"/>
      <c r="D188" s="62"/>
      <c r="E188" s="62"/>
      <c r="F188" s="62"/>
      <c r="G188" s="62"/>
      <c r="H188" s="62"/>
      <c r="I188" s="62"/>
      <c r="J188" s="62"/>
      <c r="K188" s="62"/>
      <c r="L188" s="76">
        <v>8.0579999999999999E-2</v>
      </c>
      <c r="M188" s="25"/>
      <c r="N188" s="25"/>
      <c r="O188" s="25"/>
      <c r="P188" s="5"/>
    </row>
    <row r="189" spans="1:16" ht="15.6" x14ac:dyDescent="0.3">
      <c r="A189" s="73"/>
      <c r="B189" s="74" t="s">
        <v>212</v>
      </c>
      <c r="C189" s="75"/>
      <c r="D189" s="62"/>
      <c r="E189" s="62"/>
      <c r="F189" s="62"/>
      <c r="G189" s="62"/>
      <c r="H189" s="62"/>
      <c r="I189" s="62"/>
      <c r="J189" s="62"/>
      <c r="K189" s="62"/>
      <c r="L189" s="76">
        <f>N34</f>
        <v>5.9737724599196559E-2</v>
      </c>
      <c r="M189" s="25"/>
      <c r="N189" s="25"/>
      <c r="O189" s="25"/>
      <c r="P189" s="5"/>
    </row>
    <row r="190" spans="1:16" ht="15.6" x14ac:dyDescent="0.3">
      <c r="A190" s="73"/>
      <c r="B190" s="74" t="s">
        <v>70</v>
      </c>
      <c r="C190" s="75"/>
      <c r="D190" s="62"/>
      <c r="E190" s="62"/>
      <c r="F190" s="62"/>
      <c r="G190" s="62"/>
      <c r="H190" s="62"/>
      <c r="I190" s="62"/>
      <c r="J190" s="62"/>
      <c r="K190" s="62"/>
      <c r="L190" s="76">
        <f>L188-L189</f>
        <v>2.0842275400803439E-2</v>
      </c>
      <c r="M190" s="25"/>
      <c r="N190" s="25"/>
      <c r="O190" s="25"/>
      <c r="P190" s="5"/>
    </row>
    <row r="191" spans="1:16" ht="15.6" x14ac:dyDescent="0.3">
      <c r="A191" s="73"/>
      <c r="B191" s="74" t="s">
        <v>203</v>
      </c>
      <c r="C191" s="75"/>
      <c r="D191" s="62"/>
      <c r="E191" s="62"/>
      <c r="F191" s="62"/>
      <c r="G191" s="62"/>
      <c r="H191" s="62"/>
      <c r="I191" s="62"/>
      <c r="J191" s="62"/>
      <c r="K191" s="62"/>
      <c r="L191" s="76">
        <f>+N87/F60</f>
        <v>2.3274075137309867E-2</v>
      </c>
      <c r="M191" s="25"/>
      <c r="N191" s="25"/>
      <c r="O191" s="25"/>
      <c r="P191" s="5"/>
    </row>
    <row r="192" spans="1:16" ht="15.6" x14ac:dyDescent="0.3">
      <c r="A192" s="73"/>
      <c r="B192" s="74" t="s">
        <v>171</v>
      </c>
      <c r="C192" s="75"/>
      <c r="D192" s="62"/>
      <c r="E192" s="62"/>
      <c r="F192" s="62"/>
      <c r="G192" s="62"/>
      <c r="H192" s="62"/>
      <c r="I192" s="62"/>
      <c r="J192" s="62"/>
      <c r="K192" s="62"/>
      <c r="L192" s="122">
        <v>48823</v>
      </c>
      <c r="M192" s="25"/>
      <c r="N192" s="25"/>
      <c r="O192" s="25"/>
      <c r="P192" s="5"/>
    </row>
    <row r="193" spans="1:16" ht="15.6" x14ac:dyDescent="0.3">
      <c r="A193" s="73"/>
      <c r="B193" s="74" t="s">
        <v>172</v>
      </c>
      <c r="C193" s="75"/>
      <c r="D193" s="62"/>
      <c r="E193" s="62"/>
      <c r="F193" s="62"/>
      <c r="G193" s="62"/>
      <c r="H193" s="62"/>
      <c r="I193" s="62"/>
      <c r="J193" s="62"/>
      <c r="K193" s="62"/>
      <c r="L193" s="122">
        <v>48823</v>
      </c>
      <c r="M193" s="25"/>
      <c r="N193" s="25"/>
      <c r="O193" s="25"/>
      <c r="P193" s="5"/>
    </row>
    <row r="194" spans="1:16" ht="15.6" x14ac:dyDescent="0.3">
      <c r="A194" s="73"/>
      <c r="B194" s="74" t="s">
        <v>173</v>
      </c>
      <c r="C194" s="75"/>
      <c r="D194" s="62"/>
      <c r="E194" s="62"/>
      <c r="F194" s="62"/>
      <c r="G194" s="62"/>
      <c r="H194" s="62"/>
      <c r="I194" s="62"/>
      <c r="J194" s="62"/>
      <c r="K194" s="62"/>
      <c r="L194" s="122">
        <v>48823</v>
      </c>
      <c r="M194" s="25"/>
      <c r="N194" s="25"/>
      <c r="O194" s="25"/>
      <c r="P194" s="5"/>
    </row>
    <row r="195" spans="1:16" ht="15.6" x14ac:dyDescent="0.3">
      <c r="A195" s="73"/>
      <c r="B195" s="74" t="s">
        <v>71</v>
      </c>
      <c r="C195" s="75"/>
      <c r="D195" s="62"/>
      <c r="E195" s="62"/>
      <c r="F195" s="62"/>
      <c r="G195" s="62"/>
      <c r="H195" s="62"/>
      <c r="I195" s="62"/>
      <c r="J195" s="62"/>
      <c r="K195" s="62"/>
      <c r="L195" s="126">
        <v>9.93</v>
      </c>
      <c r="M195" s="25" t="s">
        <v>110</v>
      </c>
      <c r="N195" s="25"/>
      <c r="O195" s="25"/>
      <c r="P195" s="5"/>
    </row>
    <row r="196" spans="1:16" ht="15.6" x14ac:dyDescent="0.3">
      <c r="A196" s="73"/>
      <c r="B196" s="74" t="s">
        <v>72</v>
      </c>
      <c r="C196" s="75"/>
      <c r="D196" s="62"/>
      <c r="E196" s="62"/>
      <c r="F196" s="62"/>
      <c r="G196" s="62"/>
      <c r="H196" s="62"/>
      <c r="I196" s="62"/>
      <c r="J196" s="62"/>
      <c r="K196" s="62"/>
      <c r="L196" s="126">
        <v>9.1300000000000008</v>
      </c>
      <c r="M196" s="25" t="s">
        <v>110</v>
      </c>
      <c r="N196" s="25"/>
      <c r="O196" s="25"/>
      <c r="P196" s="5"/>
    </row>
    <row r="197" spans="1:16" ht="15.6" x14ac:dyDescent="0.3">
      <c r="A197" s="73"/>
      <c r="B197" s="74" t="s">
        <v>73</v>
      </c>
      <c r="C197" s="75"/>
      <c r="D197" s="62"/>
      <c r="E197" s="62"/>
      <c r="F197" s="62"/>
      <c r="G197" s="62"/>
      <c r="H197" s="62"/>
      <c r="I197" s="62"/>
      <c r="J197" s="62"/>
      <c r="K197" s="62"/>
      <c r="L197" s="76">
        <f>+H57/F57</f>
        <v>0.10964709867265067</v>
      </c>
      <c r="M197" s="25"/>
      <c r="N197" s="25"/>
      <c r="O197" s="25"/>
      <c r="P197" s="5"/>
    </row>
    <row r="198" spans="1:16" ht="15.6" x14ac:dyDescent="0.3">
      <c r="A198" s="73"/>
      <c r="B198" s="74" t="s">
        <v>74</v>
      </c>
      <c r="C198" s="75"/>
      <c r="D198" s="62"/>
      <c r="E198" s="62"/>
      <c r="F198" s="62"/>
      <c r="G198" s="62"/>
      <c r="H198" s="62"/>
      <c r="I198" s="62"/>
      <c r="J198" s="62"/>
      <c r="K198" s="62"/>
      <c r="L198" s="76">
        <v>0.37409999999999999</v>
      </c>
      <c r="M198" s="25"/>
      <c r="N198" s="25"/>
      <c r="O198" s="25"/>
      <c r="P198" s="5"/>
    </row>
    <row r="199" spans="1:16" ht="15.6" x14ac:dyDescent="0.3">
      <c r="A199" s="73"/>
      <c r="B199" s="74"/>
      <c r="C199" s="74"/>
      <c r="D199" s="25"/>
      <c r="E199" s="25"/>
      <c r="F199" s="25"/>
      <c r="G199" s="25"/>
      <c r="H199" s="25"/>
      <c r="I199" s="25"/>
      <c r="J199" s="25"/>
      <c r="K199" s="25"/>
      <c r="L199" s="59"/>
      <c r="M199" s="25"/>
      <c r="N199" s="77"/>
      <c r="O199" s="25"/>
      <c r="P199" s="5"/>
    </row>
    <row r="200" spans="1:16" ht="15.6" x14ac:dyDescent="0.3">
      <c r="A200" s="78"/>
      <c r="B200" s="14" t="s">
        <v>75</v>
      </c>
      <c r="C200" s="79"/>
      <c r="D200" s="17"/>
      <c r="E200" s="17"/>
      <c r="F200" s="17"/>
      <c r="G200" s="17"/>
      <c r="H200" s="17"/>
      <c r="I200" s="17"/>
      <c r="J200" s="17"/>
      <c r="K200" s="17" t="s">
        <v>99</v>
      </c>
      <c r="L200" s="80" t="s">
        <v>106</v>
      </c>
      <c r="M200" s="8"/>
      <c r="N200" s="8"/>
      <c r="O200" s="8"/>
      <c r="P200" s="5"/>
    </row>
    <row r="201" spans="1:16" ht="15.6" x14ac:dyDescent="0.3">
      <c r="A201" s="81"/>
      <c r="B201" s="74" t="s">
        <v>76</v>
      </c>
      <c r="C201" s="53"/>
      <c r="D201" s="30"/>
      <c r="E201" s="30"/>
      <c r="F201" s="30"/>
      <c r="G201" s="30"/>
      <c r="H201" s="30"/>
      <c r="I201" s="30"/>
      <c r="J201" s="30"/>
      <c r="K201" s="30">
        <v>24</v>
      </c>
      <c r="L201" s="82">
        <v>1711</v>
      </c>
      <c r="M201" s="25"/>
      <c r="N201" s="77"/>
      <c r="O201" s="83"/>
      <c r="P201" s="5"/>
    </row>
    <row r="202" spans="1:16" ht="15.6" x14ac:dyDescent="0.3">
      <c r="A202" s="81"/>
      <c r="B202" s="74" t="s">
        <v>136</v>
      </c>
      <c r="C202" s="53"/>
      <c r="D202" s="30"/>
      <c r="E202" s="30"/>
      <c r="F202" s="30"/>
      <c r="G202" s="30"/>
      <c r="H202" s="30"/>
      <c r="I202" s="30"/>
      <c r="J202" s="30"/>
      <c r="K202" s="142">
        <f>+J252</f>
        <v>0</v>
      </c>
      <c r="L202" s="82">
        <f>+L252</f>
        <v>0</v>
      </c>
      <c r="M202" s="25"/>
      <c r="N202" s="77"/>
      <c r="O202" s="83"/>
      <c r="P202" s="5"/>
    </row>
    <row r="203" spans="1:16" ht="15.6" x14ac:dyDescent="0.3">
      <c r="A203" s="81"/>
      <c r="B203" s="74" t="s">
        <v>77</v>
      </c>
      <c r="C203" s="53"/>
      <c r="D203" s="30"/>
      <c r="E203" s="30"/>
      <c r="F203" s="30"/>
      <c r="G203" s="30"/>
      <c r="H203" s="30"/>
      <c r="I203" s="30"/>
      <c r="J203" s="30"/>
      <c r="K203" s="142">
        <f>+J269</f>
        <v>2</v>
      </c>
      <c r="L203" s="82">
        <f>+L269</f>
        <v>228</v>
      </c>
      <c r="M203" s="25"/>
      <c r="N203" s="77"/>
      <c r="O203" s="83"/>
      <c r="P203" s="5"/>
    </row>
    <row r="204" spans="1:16" ht="15.6" x14ac:dyDescent="0.3">
      <c r="A204" s="81"/>
      <c r="B204" s="117" t="s">
        <v>78</v>
      </c>
      <c r="C204" s="53"/>
      <c r="D204" s="25"/>
      <c r="E204" s="25"/>
      <c r="F204" s="25"/>
      <c r="G204" s="25"/>
      <c r="H204" s="25"/>
      <c r="I204" s="25"/>
      <c r="J204" s="25"/>
      <c r="K204" s="25"/>
      <c r="L204" s="82">
        <v>0</v>
      </c>
      <c r="M204" s="25"/>
      <c r="N204" s="77"/>
      <c r="O204" s="83"/>
      <c r="P204" s="5"/>
    </row>
    <row r="205" spans="1:16" ht="15.6" x14ac:dyDescent="0.3">
      <c r="A205" s="81"/>
      <c r="B205" s="117" t="s">
        <v>79</v>
      </c>
      <c r="C205" s="53"/>
      <c r="D205" s="25"/>
      <c r="E205" s="25"/>
      <c r="F205" s="25"/>
      <c r="G205" s="25"/>
      <c r="H205" s="25"/>
      <c r="I205" s="25"/>
      <c r="J205" s="25"/>
      <c r="K205" s="25"/>
      <c r="L205" s="60" t="s">
        <v>107</v>
      </c>
      <c r="M205" s="25"/>
      <c r="N205" s="77"/>
      <c r="O205" s="83"/>
      <c r="P205" s="5"/>
    </row>
    <row r="206" spans="1:16" ht="15.6" x14ac:dyDescent="0.3">
      <c r="A206" s="84"/>
      <c r="B206" s="117" t="s">
        <v>80</v>
      </c>
      <c r="C206" s="74"/>
      <c r="D206" s="25"/>
      <c r="E206" s="25"/>
      <c r="F206" s="25"/>
      <c r="G206" s="25"/>
      <c r="H206" s="25"/>
      <c r="I206" s="25"/>
      <c r="J206" s="25"/>
      <c r="K206" s="25"/>
      <c r="L206" s="82"/>
      <c r="M206" s="25"/>
      <c r="N206" s="77"/>
      <c r="O206" s="85"/>
      <c r="P206" s="5"/>
    </row>
    <row r="207" spans="1:16" ht="15.6" x14ac:dyDescent="0.3">
      <c r="A207" s="84"/>
      <c r="B207" s="124" t="s">
        <v>81</v>
      </c>
      <c r="C207" s="74"/>
      <c r="D207" s="25"/>
      <c r="E207" s="25"/>
      <c r="F207" s="25"/>
      <c r="G207" s="25"/>
      <c r="H207" s="25"/>
      <c r="I207" s="25"/>
      <c r="J207" s="25"/>
      <c r="K207" s="30"/>
      <c r="L207" s="82">
        <f>N144</f>
        <v>-8</v>
      </c>
      <c r="M207" s="25"/>
      <c r="N207" s="77"/>
      <c r="O207" s="85"/>
      <c r="P207" s="5"/>
    </row>
    <row r="208" spans="1:16" ht="15.6" x14ac:dyDescent="0.3">
      <c r="A208" s="81"/>
      <c r="B208" s="74" t="s">
        <v>82</v>
      </c>
      <c r="C208" s="53"/>
      <c r="D208" s="25"/>
      <c r="E208" s="25"/>
      <c r="F208" s="25"/>
      <c r="G208" s="25"/>
      <c r="H208" s="25"/>
      <c r="I208" s="25"/>
      <c r="J208" s="25"/>
      <c r="K208" s="30"/>
      <c r="L208" s="82">
        <f>+'May 07'!L208+L207</f>
        <v>26</v>
      </c>
      <c r="M208" s="25"/>
      <c r="N208" s="77"/>
      <c r="O208" s="85"/>
      <c r="P208" s="5"/>
    </row>
    <row r="209" spans="1:17" ht="15.6" x14ac:dyDescent="0.3">
      <c r="A209" s="84"/>
      <c r="B209" s="117" t="s">
        <v>253</v>
      </c>
      <c r="C209" s="74"/>
      <c r="D209" s="25"/>
      <c r="E209" s="25"/>
      <c r="F209" s="25"/>
      <c r="G209" s="25"/>
      <c r="H209" s="25"/>
      <c r="I209" s="25"/>
      <c r="J209" s="25"/>
      <c r="K209" s="30"/>
      <c r="L209" s="82"/>
      <c r="M209" s="25"/>
      <c r="N209" s="77"/>
      <c r="O209" s="85"/>
      <c r="P209" s="5"/>
    </row>
    <row r="210" spans="1:17" ht="15.6" x14ac:dyDescent="0.3">
      <c r="A210" s="84"/>
      <c r="B210" s="74" t="s">
        <v>250</v>
      </c>
      <c r="C210" s="74"/>
      <c r="D210" s="25"/>
      <c r="E210" s="25"/>
      <c r="F210" s="25"/>
      <c r="G210" s="25"/>
      <c r="H210" s="25"/>
      <c r="I210" s="25"/>
      <c r="J210" s="25"/>
      <c r="K210" s="30">
        <v>0</v>
      </c>
      <c r="L210" s="82">
        <v>0</v>
      </c>
      <c r="M210" s="25"/>
      <c r="N210" s="77"/>
      <c r="O210" s="85"/>
      <c r="P210" s="5"/>
    </row>
    <row r="211" spans="1:17" ht="15.6" x14ac:dyDescent="0.3">
      <c r="A211" s="81"/>
      <c r="B211" s="74" t="s">
        <v>83</v>
      </c>
      <c r="C211" s="86"/>
      <c r="D211" s="25"/>
      <c r="E211" s="25"/>
      <c r="F211" s="25"/>
      <c r="G211" s="25"/>
      <c r="H211" s="25"/>
      <c r="I211" s="25"/>
      <c r="J211" s="25"/>
      <c r="K211" s="25"/>
      <c r="L211" s="60">
        <v>0</v>
      </c>
      <c r="M211" s="25"/>
      <c r="N211" s="77"/>
      <c r="O211" s="85"/>
      <c r="P211" s="5"/>
    </row>
    <row r="212" spans="1:17" ht="15.6" x14ac:dyDescent="0.3">
      <c r="A212" s="81"/>
      <c r="B212" s="74" t="s">
        <v>84</v>
      </c>
      <c r="C212" s="86"/>
      <c r="D212" s="25"/>
      <c r="E212" s="25"/>
      <c r="F212" s="25"/>
      <c r="G212" s="25"/>
      <c r="H212" s="25"/>
      <c r="I212" s="25"/>
      <c r="J212" s="25"/>
      <c r="K212" s="25"/>
      <c r="L212" s="60">
        <v>0</v>
      </c>
      <c r="M212" s="25"/>
      <c r="N212" s="77"/>
      <c r="O212" s="85"/>
      <c r="P212" s="5"/>
    </row>
    <row r="213" spans="1:17" ht="15.6" x14ac:dyDescent="0.3">
      <c r="A213" s="81"/>
      <c r="B213" s="117" t="s">
        <v>177</v>
      </c>
      <c r="C213" s="86"/>
      <c r="D213" s="25"/>
      <c r="E213" s="25"/>
      <c r="F213" s="25"/>
      <c r="G213" s="25"/>
      <c r="H213" s="25"/>
      <c r="I213" s="25"/>
      <c r="J213" s="25"/>
      <c r="K213" s="25"/>
      <c r="L213" s="87"/>
      <c r="M213" s="25"/>
      <c r="N213" s="77"/>
      <c r="O213" s="85"/>
      <c r="P213" s="5"/>
    </row>
    <row r="214" spans="1:17" ht="15.6" x14ac:dyDescent="0.3">
      <c r="A214" s="81"/>
      <c r="B214" s="74" t="s">
        <v>250</v>
      </c>
      <c r="C214" s="86"/>
      <c r="D214" s="25"/>
      <c r="E214" s="25"/>
      <c r="F214" s="25"/>
      <c r="G214" s="25"/>
      <c r="H214" s="25"/>
      <c r="I214" s="25"/>
      <c r="J214" s="25"/>
      <c r="K214" s="30">
        <v>0</v>
      </c>
      <c r="L214" s="82">
        <v>0</v>
      </c>
      <c r="M214" s="25"/>
      <c r="N214" s="77"/>
      <c r="O214" s="85"/>
      <c r="P214" s="5"/>
    </row>
    <row r="215" spans="1:17" ht="15.6" x14ac:dyDescent="0.3">
      <c r="A215" s="81"/>
      <c r="B215" s="74" t="s">
        <v>178</v>
      </c>
      <c r="C215" s="86"/>
      <c r="D215" s="25"/>
      <c r="E215" s="25"/>
      <c r="F215" s="25"/>
      <c r="G215" s="25"/>
      <c r="H215" s="25"/>
      <c r="I215" s="25"/>
      <c r="J215" s="25"/>
      <c r="K215" s="25"/>
      <c r="L215" s="60">
        <v>0</v>
      </c>
      <c r="M215" s="25"/>
      <c r="N215" s="77"/>
      <c r="O215" s="85"/>
      <c r="P215" s="5"/>
    </row>
    <row r="216" spans="1:17" ht="15.6" x14ac:dyDescent="0.3">
      <c r="A216" s="81"/>
      <c r="B216" s="74"/>
      <c r="C216" s="86"/>
      <c r="D216" s="25"/>
      <c r="E216" s="25"/>
      <c r="F216" s="25"/>
      <c r="G216" s="25"/>
      <c r="H216" s="25"/>
      <c r="I216" s="25"/>
      <c r="J216" s="25"/>
      <c r="K216" s="25"/>
      <c r="L216" s="87"/>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7.399999999999999" x14ac:dyDescent="0.3">
      <c r="A218" s="81"/>
      <c r="B218" s="140" t="s">
        <v>238</v>
      </c>
      <c r="C218" s="86"/>
      <c r="D218" s="25"/>
      <c r="E218" s="25"/>
      <c r="F218" s="25"/>
      <c r="G218" s="25"/>
      <c r="H218" s="180" t="s">
        <v>237</v>
      </c>
      <c r="I218" s="25"/>
      <c r="J218" s="25"/>
      <c r="K218" s="25"/>
      <c r="L218" s="87"/>
      <c r="M218" s="25"/>
      <c r="N218" s="77"/>
      <c r="O218" s="85"/>
      <c r="P218" s="5"/>
    </row>
    <row r="219" spans="1:17" ht="15.6" x14ac:dyDescent="0.3">
      <c r="A219" s="81"/>
      <c r="B219" s="74"/>
      <c r="C219" s="86"/>
      <c r="D219" s="25"/>
      <c r="E219" s="25"/>
      <c r="F219" s="25"/>
      <c r="G219" s="25"/>
      <c r="H219" s="25"/>
      <c r="I219" s="25"/>
      <c r="J219" s="25"/>
      <c r="K219" s="25"/>
      <c r="L219" s="87"/>
      <c r="M219" s="25"/>
      <c r="N219" s="77"/>
      <c r="O219" s="85"/>
      <c r="P219" s="5"/>
    </row>
    <row r="220" spans="1:17" ht="15.6" x14ac:dyDescent="0.3">
      <c r="A220" s="6"/>
      <c r="B220" s="14" t="s">
        <v>149</v>
      </c>
      <c r="C220" s="79"/>
      <c r="D220" s="17"/>
      <c r="E220" s="17"/>
      <c r="F220" s="17"/>
      <c r="G220" s="17"/>
      <c r="H220" s="17"/>
      <c r="I220" s="17"/>
      <c r="J220" s="80" t="s">
        <v>99</v>
      </c>
      <c r="K220" s="17" t="s">
        <v>100</v>
      </c>
      <c r="L220" s="80" t="s">
        <v>108</v>
      </c>
      <c r="M220" s="17" t="s">
        <v>100</v>
      </c>
      <c r="N220" s="8"/>
      <c r="O220" s="88"/>
      <c r="P220" s="5"/>
    </row>
    <row r="221" spans="1:17" ht="15.6" x14ac:dyDescent="0.3">
      <c r="A221" s="24"/>
      <c r="B221" s="53" t="s">
        <v>85</v>
      </c>
      <c r="C221" s="89"/>
      <c r="D221" s="89"/>
      <c r="E221" s="89"/>
      <c r="F221" s="89"/>
      <c r="G221" s="89"/>
      <c r="H221" s="89"/>
      <c r="I221" s="89"/>
      <c r="J221" s="53">
        <v>4458</v>
      </c>
      <c r="K221" s="90">
        <f t="shared" ref="K221:K233" si="1">J221/$J$235</f>
        <v>0.93068893528183716</v>
      </c>
      <c r="L221" s="52">
        <v>194519</v>
      </c>
      <c r="M221" s="125">
        <f t="shared" ref="M221:M233" si="2">L221/$L$235</f>
        <v>0.90607546941304151</v>
      </c>
      <c r="N221" s="77"/>
      <c r="O221" s="85"/>
      <c r="P221" s="5"/>
    </row>
    <row r="222" spans="1:17" ht="15.6" x14ac:dyDescent="0.3">
      <c r="A222" s="24"/>
      <c r="B222" s="53" t="s">
        <v>86</v>
      </c>
      <c r="C222" s="89"/>
      <c r="D222" s="89"/>
      <c r="E222" s="89"/>
      <c r="F222" s="89"/>
      <c r="G222" s="89"/>
      <c r="H222" s="89"/>
      <c r="I222" s="89"/>
      <c r="J222" s="53">
        <v>150</v>
      </c>
      <c r="K222" s="90">
        <f t="shared" si="1"/>
        <v>3.1315240083507306E-2</v>
      </c>
      <c r="L222" s="52">
        <v>7988</v>
      </c>
      <c r="M222" s="125">
        <f t="shared" si="2"/>
        <v>3.7208349054186872E-2</v>
      </c>
      <c r="N222" s="77"/>
      <c r="O222" s="85"/>
      <c r="P222" s="5"/>
      <c r="Q222" s="104"/>
    </row>
    <row r="223" spans="1:17" ht="15.6" x14ac:dyDescent="0.3">
      <c r="A223" s="24"/>
      <c r="B223" s="53" t="s">
        <v>87</v>
      </c>
      <c r="C223" s="89"/>
      <c r="D223" s="89"/>
      <c r="E223" s="89"/>
      <c r="F223" s="89"/>
      <c r="G223" s="89"/>
      <c r="H223" s="89"/>
      <c r="I223" s="89"/>
      <c r="J223" s="53">
        <v>62</v>
      </c>
      <c r="K223" s="90">
        <f t="shared" si="1"/>
        <v>1.2943632567849687E-2</v>
      </c>
      <c r="L223" s="52">
        <v>3071</v>
      </c>
      <c r="M223" s="125">
        <f t="shared" si="2"/>
        <v>1.4304812211493224E-2</v>
      </c>
      <c r="N223" s="77"/>
      <c r="O223" s="85"/>
      <c r="P223" s="5"/>
    </row>
    <row r="224" spans="1:17" ht="15.6" x14ac:dyDescent="0.3">
      <c r="A224" s="24"/>
      <c r="B224" s="53" t="s">
        <v>145</v>
      </c>
      <c r="C224" s="89"/>
      <c r="D224" s="89"/>
      <c r="E224" s="89"/>
      <c r="F224" s="89"/>
      <c r="G224" s="89"/>
      <c r="H224" s="89"/>
      <c r="I224" s="89"/>
      <c r="J224" s="53">
        <v>27</v>
      </c>
      <c r="K224" s="90">
        <f t="shared" si="1"/>
        <v>5.6367432150313153E-3</v>
      </c>
      <c r="L224" s="52">
        <v>1834</v>
      </c>
      <c r="M224" s="125">
        <f t="shared" si="2"/>
        <v>8.5428282630669403E-3</v>
      </c>
      <c r="N224" s="77"/>
      <c r="O224" s="85"/>
      <c r="P224" s="5"/>
      <c r="Q224" s="104"/>
    </row>
    <row r="225" spans="1:17" ht="15.6" x14ac:dyDescent="0.3">
      <c r="A225" s="24"/>
      <c r="B225" s="53" t="s">
        <v>146</v>
      </c>
      <c r="C225" s="89"/>
      <c r="D225" s="89"/>
      <c r="E225" s="89"/>
      <c r="F225" s="89"/>
      <c r="G225" s="89"/>
      <c r="H225" s="89"/>
      <c r="I225" s="89"/>
      <c r="J225" s="53">
        <v>27</v>
      </c>
      <c r="K225" s="90">
        <f t="shared" si="1"/>
        <v>5.6367432150313153E-3</v>
      </c>
      <c r="L225" s="52">
        <v>1574</v>
      </c>
      <c r="M225" s="125">
        <f t="shared" si="2"/>
        <v>7.3317402868415295E-3</v>
      </c>
      <c r="N225" s="77"/>
      <c r="O225" s="85"/>
      <c r="P225" s="5"/>
    </row>
    <row r="226" spans="1:17" ht="15.6" x14ac:dyDescent="0.3">
      <c r="A226" s="24"/>
      <c r="B226" s="53" t="s">
        <v>147</v>
      </c>
      <c r="C226" s="89"/>
      <c r="D226" s="89"/>
      <c r="E226" s="89"/>
      <c r="F226" s="89"/>
      <c r="G226" s="89"/>
      <c r="H226" s="89"/>
      <c r="I226" s="89"/>
      <c r="J226" s="53">
        <v>10</v>
      </c>
      <c r="K226" s="90">
        <f t="shared" si="1"/>
        <v>2.0876826722338203E-3</v>
      </c>
      <c r="L226" s="52">
        <v>541</v>
      </c>
      <c r="M226" s="125">
        <f t="shared" si="2"/>
        <v>2.5199945966844139E-3</v>
      </c>
      <c r="N226" s="77"/>
      <c r="O226" s="85"/>
      <c r="P226" s="5"/>
      <c r="Q226" s="104"/>
    </row>
    <row r="227" spans="1:17" ht="15.6" x14ac:dyDescent="0.3">
      <c r="A227" s="24"/>
      <c r="B227" s="53" t="s">
        <v>227</v>
      </c>
      <c r="C227" s="89"/>
      <c r="D227" s="89"/>
      <c r="E227" s="89"/>
      <c r="F227" s="89"/>
      <c r="G227" s="89"/>
      <c r="H227" s="89"/>
      <c r="I227" s="89"/>
      <c r="J227" s="53">
        <v>24</v>
      </c>
      <c r="K227" s="90">
        <f t="shared" si="1"/>
        <v>5.0104384133611689E-3</v>
      </c>
      <c r="L227" s="52">
        <v>1906</v>
      </c>
      <c r="M227" s="125">
        <f t="shared" si="2"/>
        <v>8.8782064718678239E-3</v>
      </c>
      <c r="N227" s="77"/>
      <c r="O227" s="85"/>
      <c r="P227" s="5"/>
    </row>
    <row r="228" spans="1:17" ht="15.6" x14ac:dyDescent="0.3">
      <c r="A228" s="24"/>
      <c r="B228" s="53" t="s">
        <v>228</v>
      </c>
      <c r="C228" s="89"/>
      <c r="D228" s="89"/>
      <c r="E228" s="89"/>
      <c r="F228" s="89"/>
      <c r="G228" s="89"/>
      <c r="H228" s="89"/>
      <c r="I228" s="89"/>
      <c r="J228" s="53">
        <v>14</v>
      </c>
      <c r="K228" s="90">
        <f t="shared" si="1"/>
        <v>2.9227557411273487E-3</v>
      </c>
      <c r="L228" s="52">
        <v>1009</v>
      </c>
      <c r="M228" s="125">
        <f t="shared" si="2"/>
        <v>4.6999529538901547E-3</v>
      </c>
      <c r="N228" s="77"/>
      <c r="O228" s="85"/>
      <c r="P228" s="5"/>
      <c r="Q228" s="104"/>
    </row>
    <row r="229" spans="1:17" ht="15.6" x14ac:dyDescent="0.3">
      <c r="A229" s="24"/>
      <c r="B229" s="53" t="s">
        <v>229</v>
      </c>
      <c r="C229" s="89"/>
      <c r="D229" s="89"/>
      <c r="E229" s="89"/>
      <c r="F229" s="89"/>
      <c r="G229" s="89"/>
      <c r="H229" s="89"/>
      <c r="I229" s="89"/>
      <c r="J229" s="53">
        <v>9</v>
      </c>
      <c r="K229" s="90">
        <f t="shared" si="1"/>
        <v>1.8789144050104384E-3</v>
      </c>
      <c r="L229" s="52">
        <v>1576</v>
      </c>
      <c r="M229" s="125">
        <f t="shared" si="2"/>
        <v>7.3410563481971095E-3</v>
      </c>
      <c r="N229" s="77"/>
      <c r="O229" s="85"/>
      <c r="P229" s="5"/>
      <c r="Q229" s="104"/>
    </row>
    <row r="230" spans="1:17" ht="15.6" x14ac:dyDescent="0.3">
      <c r="A230" s="24"/>
      <c r="B230" s="53" t="s">
        <v>230</v>
      </c>
      <c r="C230" s="89"/>
      <c r="D230" s="89"/>
      <c r="E230" s="89"/>
      <c r="F230" s="89"/>
      <c r="G230" s="89"/>
      <c r="H230" s="89"/>
      <c r="I230" s="89"/>
      <c r="J230" s="53">
        <v>4</v>
      </c>
      <c r="K230" s="90">
        <f t="shared" si="1"/>
        <v>8.3507306889352823E-4</v>
      </c>
      <c r="L230" s="52">
        <v>294</v>
      </c>
      <c r="M230" s="125">
        <f t="shared" si="2"/>
        <v>1.3694610192702729E-3</v>
      </c>
      <c r="N230" s="77"/>
      <c r="O230" s="85"/>
      <c r="P230" s="5"/>
      <c r="Q230" s="104"/>
    </row>
    <row r="231" spans="1:17" ht="15.6" x14ac:dyDescent="0.3">
      <c r="A231" s="24"/>
      <c r="B231" s="53" t="s">
        <v>231</v>
      </c>
      <c r="C231" s="89"/>
      <c r="D231" s="89"/>
      <c r="E231" s="89"/>
      <c r="F231" s="89"/>
      <c r="G231" s="89"/>
      <c r="H231" s="89"/>
      <c r="I231" s="89"/>
      <c r="J231" s="53">
        <v>2</v>
      </c>
      <c r="K231" s="90">
        <f t="shared" si="1"/>
        <v>4.1753653444676412E-4</v>
      </c>
      <c r="L231" s="52">
        <v>144</v>
      </c>
      <c r="M231" s="125">
        <f t="shared" si="2"/>
        <v>6.7075641760176632E-4</v>
      </c>
      <c r="N231" s="77"/>
      <c r="O231" s="85"/>
      <c r="P231" s="5"/>
      <c r="Q231" s="104"/>
    </row>
    <row r="232" spans="1:17" ht="15.6" x14ac:dyDescent="0.3">
      <c r="A232" s="24"/>
      <c r="B232" s="53" t="s">
        <v>232</v>
      </c>
      <c r="C232" s="89"/>
      <c r="D232" s="89"/>
      <c r="E232" s="89"/>
      <c r="F232" s="89"/>
      <c r="G232" s="89"/>
      <c r="H232" s="89"/>
      <c r="I232" s="89"/>
      <c r="J232" s="53">
        <v>1</v>
      </c>
      <c r="K232" s="90">
        <f t="shared" si="1"/>
        <v>2.0876826722338206E-4</v>
      </c>
      <c r="L232" s="52">
        <v>187</v>
      </c>
      <c r="M232" s="125">
        <f t="shared" si="2"/>
        <v>8.7105173674673823E-4</v>
      </c>
      <c r="N232" s="77"/>
      <c r="O232" s="85"/>
      <c r="P232" s="5"/>
      <c r="Q232" s="104"/>
    </row>
    <row r="233" spans="1:17" ht="15.6" x14ac:dyDescent="0.3">
      <c r="A233" s="24"/>
      <c r="B233" s="53" t="s">
        <v>233</v>
      </c>
      <c r="C233" s="89"/>
      <c r="D233" s="89"/>
      <c r="E233" s="89"/>
      <c r="F233" s="89"/>
      <c r="G233" s="89"/>
      <c r="H233" s="89"/>
      <c r="I233" s="89"/>
      <c r="J233" s="53">
        <v>2</v>
      </c>
      <c r="K233" s="90">
        <f t="shared" si="1"/>
        <v>4.1753653444676412E-4</v>
      </c>
      <c r="L233" s="52">
        <v>40</v>
      </c>
      <c r="M233" s="125">
        <f t="shared" si="2"/>
        <v>1.8632122711160175E-4</v>
      </c>
      <c r="N233" s="77"/>
      <c r="O233" s="85"/>
      <c r="P233" s="5"/>
      <c r="Q233" s="104"/>
    </row>
    <row r="234" spans="1:17" ht="15.6" x14ac:dyDescent="0.3">
      <c r="A234" s="24"/>
      <c r="B234" s="53"/>
      <c r="C234" s="89"/>
      <c r="D234" s="89"/>
      <c r="E234" s="89"/>
      <c r="F234" s="89"/>
      <c r="G234" s="89"/>
      <c r="H234" s="89"/>
      <c r="I234" s="89"/>
      <c r="J234" s="53"/>
      <c r="K234" s="90"/>
      <c r="L234" s="52"/>
      <c r="M234" s="125"/>
      <c r="N234" s="77"/>
      <c r="O234" s="85"/>
      <c r="P234" s="5"/>
      <c r="Q234" s="104"/>
    </row>
    <row r="235" spans="1:17" ht="15.6" x14ac:dyDescent="0.3">
      <c r="A235" s="24"/>
      <c r="B235" s="25"/>
      <c r="C235" s="25"/>
      <c r="D235" s="91"/>
      <c r="E235" s="91"/>
      <c r="F235" s="91"/>
      <c r="G235" s="91"/>
      <c r="H235" s="91"/>
      <c r="I235" s="91"/>
      <c r="J235" s="34">
        <f>SUM(J221:J234)</f>
        <v>4790</v>
      </c>
      <c r="K235" s="125">
        <f>SUM(K221:K234)</f>
        <v>0.99999999999999978</v>
      </c>
      <c r="L235" s="52">
        <f>SUM(L221:L234)</f>
        <v>214683</v>
      </c>
      <c r="M235" s="125">
        <f>SUM(M221:M234)</f>
        <v>1.0000000000000002</v>
      </c>
      <c r="N235" s="25"/>
      <c r="O235" s="25"/>
      <c r="P235" s="5"/>
    </row>
    <row r="236" spans="1:17" ht="15.6" x14ac:dyDescent="0.3">
      <c r="A236" s="24"/>
      <c r="B236" s="25"/>
      <c r="C236" s="25"/>
      <c r="D236" s="91"/>
      <c r="E236" s="91"/>
      <c r="F236" s="91"/>
      <c r="G236" s="91"/>
      <c r="H236" s="91"/>
      <c r="I236" s="91"/>
      <c r="J236" s="34"/>
      <c r="K236" s="125"/>
      <c r="L236" s="52"/>
      <c r="M236" s="125"/>
      <c r="N236" s="25"/>
      <c r="O236" s="25"/>
      <c r="P236" s="5"/>
    </row>
    <row r="237" spans="1:17" ht="15.6" x14ac:dyDescent="0.3">
      <c r="A237" s="133"/>
      <c r="B237" s="14" t="s">
        <v>204</v>
      </c>
      <c r="C237" s="79"/>
      <c r="D237" s="17"/>
      <c r="E237" s="17"/>
      <c r="F237" s="17"/>
      <c r="G237" s="17"/>
      <c r="H237" s="17"/>
      <c r="I237" s="17"/>
      <c r="J237" s="80" t="s">
        <v>99</v>
      </c>
      <c r="K237" s="17" t="s">
        <v>100</v>
      </c>
      <c r="L237" s="80" t="s">
        <v>108</v>
      </c>
      <c r="M237" s="17" t="s">
        <v>100</v>
      </c>
      <c r="N237" s="131"/>
      <c r="O237" s="132"/>
      <c r="P237" s="5"/>
    </row>
    <row r="238" spans="1:17" ht="15.6" x14ac:dyDescent="0.3">
      <c r="A238" s="24"/>
      <c r="B238" s="53" t="s">
        <v>85</v>
      </c>
      <c r="C238" s="89"/>
      <c r="D238" s="89"/>
      <c r="E238" s="89"/>
      <c r="F238" s="89"/>
      <c r="G238" s="89"/>
      <c r="H238" s="89"/>
      <c r="I238" s="89"/>
      <c r="J238" s="53">
        <v>0</v>
      </c>
      <c r="K238" s="90">
        <v>0</v>
      </c>
      <c r="L238" s="52">
        <v>0</v>
      </c>
      <c r="M238" s="125">
        <v>0</v>
      </c>
      <c r="N238" s="25"/>
      <c r="O238" s="25"/>
      <c r="P238" s="5"/>
    </row>
    <row r="239" spans="1:17" ht="15.6" x14ac:dyDescent="0.3">
      <c r="A239" s="24"/>
      <c r="B239" s="53" t="s">
        <v>86</v>
      </c>
      <c r="C239" s="89"/>
      <c r="D239" s="89"/>
      <c r="E239" s="89"/>
      <c r="F239" s="89"/>
      <c r="G239" s="89"/>
      <c r="H239" s="89"/>
      <c r="I239" s="89"/>
      <c r="J239" s="53">
        <v>0</v>
      </c>
      <c r="K239" s="90">
        <v>0</v>
      </c>
      <c r="L239" s="52">
        <v>0</v>
      </c>
      <c r="M239" s="125">
        <v>0</v>
      </c>
      <c r="N239" s="25"/>
      <c r="O239" s="25"/>
      <c r="P239" s="5"/>
    </row>
    <row r="240" spans="1:17" ht="15.6" x14ac:dyDescent="0.3">
      <c r="A240" s="24"/>
      <c r="B240" s="53" t="s">
        <v>87</v>
      </c>
      <c r="C240" s="89"/>
      <c r="D240" s="89"/>
      <c r="E240" s="89"/>
      <c r="F240" s="89"/>
      <c r="G240" s="89"/>
      <c r="H240" s="89"/>
      <c r="I240" s="89"/>
      <c r="J240" s="53">
        <v>0</v>
      </c>
      <c r="K240" s="90">
        <v>0</v>
      </c>
      <c r="L240" s="52">
        <v>0</v>
      </c>
      <c r="M240" s="125">
        <v>0</v>
      </c>
      <c r="N240" s="25"/>
      <c r="O240" s="25"/>
      <c r="P240" s="5"/>
    </row>
    <row r="241" spans="1:16" ht="15.6" x14ac:dyDescent="0.3">
      <c r="A241" s="24"/>
      <c r="B241" s="53" t="s">
        <v>145</v>
      </c>
      <c r="C241" s="89"/>
      <c r="D241" s="89"/>
      <c r="E241" s="89"/>
      <c r="F241" s="89"/>
      <c r="G241" s="89"/>
      <c r="H241" s="89"/>
      <c r="I241" s="89"/>
      <c r="J241" s="53">
        <v>0</v>
      </c>
      <c r="K241" s="90">
        <v>0</v>
      </c>
      <c r="L241" s="52">
        <v>0</v>
      </c>
      <c r="M241" s="125">
        <v>0</v>
      </c>
      <c r="N241" s="25"/>
      <c r="O241" s="25"/>
      <c r="P241" s="5"/>
    </row>
    <row r="242" spans="1:16" ht="15.6" x14ac:dyDescent="0.3">
      <c r="A242" s="24"/>
      <c r="B242" s="53" t="s">
        <v>146</v>
      </c>
      <c r="C242" s="89"/>
      <c r="D242" s="89"/>
      <c r="E242" s="89"/>
      <c r="F242" s="89"/>
      <c r="G242" s="89"/>
      <c r="H242" s="89"/>
      <c r="I242" s="89"/>
      <c r="J242" s="53">
        <v>0</v>
      </c>
      <c r="K242" s="90">
        <v>0</v>
      </c>
      <c r="L242" s="52">
        <v>0</v>
      </c>
      <c r="M242" s="125">
        <v>0</v>
      </c>
      <c r="N242" s="25"/>
      <c r="O242" s="25"/>
      <c r="P242" s="5"/>
    </row>
    <row r="243" spans="1:16" ht="15.6" x14ac:dyDescent="0.3">
      <c r="A243" s="24"/>
      <c r="B243" s="53" t="s">
        <v>147</v>
      </c>
      <c r="C243" s="89"/>
      <c r="D243" s="89"/>
      <c r="E243" s="89"/>
      <c r="F243" s="89"/>
      <c r="G243" s="89"/>
      <c r="H243" s="89"/>
      <c r="I243" s="89"/>
      <c r="J243" s="53">
        <v>0</v>
      </c>
      <c r="K243" s="90">
        <v>0</v>
      </c>
      <c r="L243" s="52">
        <v>0</v>
      </c>
      <c r="M243" s="125">
        <v>0</v>
      </c>
      <c r="N243" s="25"/>
      <c r="O243" s="25"/>
      <c r="P243" s="5"/>
    </row>
    <row r="244" spans="1:16" ht="15.6" x14ac:dyDescent="0.3">
      <c r="A244" s="24"/>
      <c r="B244" s="53" t="s">
        <v>227</v>
      </c>
      <c r="C244" s="89"/>
      <c r="D244" s="89"/>
      <c r="E244" s="89"/>
      <c r="F244" s="89"/>
      <c r="G244" s="89"/>
      <c r="H244" s="89"/>
      <c r="I244" s="89"/>
      <c r="J244" s="53">
        <v>0</v>
      </c>
      <c r="K244" s="90">
        <v>0</v>
      </c>
      <c r="L244" s="52">
        <v>0</v>
      </c>
      <c r="M244" s="125">
        <v>0</v>
      </c>
      <c r="N244" s="25"/>
      <c r="O244" s="25"/>
      <c r="P244" s="5"/>
    </row>
    <row r="245" spans="1:16" ht="15.6" x14ac:dyDescent="0.3">
      <c r="A245" s="24"/>
      <c r="B245" s="53" t="s">
        <v>228</v>
      </c>
      <c r="C245" s="89"/>
      <c r="D245" s="89"/>
      <c r="E245" s="89"/>
      <c r="F245" s="89"/>
      <c r="G245" s="89"/>
      <c r="H245" s="89"/>
      <c r="I245" s="89"/>
      <c r="J245" s="53">
        <v>0</v>
      </c>
      <c r="K245" s="90">
        <v>0</v>
      </c>
      <c r="L245" s="52">
        <v>0</v>
      </c>
      <c r="M245" s="125">
        <v>0</v>
      </c>
      <c r="N245" s="25"/>
      <c r="O245" s="25"/>
      <c r="P245" s="5"/>
    </row>
    <row r="246" spans="1:16" ht="15.6" x14ac:dyDescent="0.3">
      <c r="A246" s="24"/>
      <c r="B246" s="53" t="s">
        <v>229</v>
      </c>
      <c r="C246" s="89"/>
      <c r="D246" s="89"/>
      <c r="E246" s="89"/>
      <c r="F246" s="89"/>
      <c r="G246" s="89"/>
      <c r="H246" s="89"/>
      <c r="I246" s="89"/>
      <c r="J246" s="53">
        <v>0</v>
      </c>
      <c r="K246" s="90">
        <v>0</v>
      </c>
      <c r="L246" s="52">
        <v>0</v>
      </c>
      <c r="M246" s="125">
        <v>0</v>
      </c>
      <c r="N246" s="25"/>
      <c r="O246" s="25"/>
      <c r="P246" s="5"/>
    </row>
    <row r="247" spans="1:16" ht="15.6" x14ac:dyDescent="0.3">
      <c r="A247" s="24"/>
      <c r="B247" s="53" t="s">
        <v>230</v>
      </c>
      <c r="C247" s="89"/>
      <c r="D247" s="89"/>
      <c r="E247" s="89"/>
      <c r="F247" s="89"/>
      <c r="G247" s="89"/>
      <c r="H247" s="89"/>
      <c r="I247" s="89"/>
      <c r="J247" s="53">
        <v>0</v>
      </c>
      <c r="K247" s="90">
        <v>0</v>
      </c>
      <c r="L247" s="52">
        <v>0</v>
      </c>
      <c r="M247" s="125">
        <v>0</v>
      </c>
      <c r="N247" s="25"/>
      <c r="O247" s="25"/>
      <c r="P247" s="5"/>
    </row>
    <row r="248" spans="1:16" ht="15.6" x14ac:dyDescent="0.3">
      <c r="A248" s="24"/>
      <c r="B248" s="53" t="s">
        <v>231</v>
      </c>
      <c r="C248" s="89"/>
      <c r="D248" s="89"/>
      <c r="E248" s="89"/>
      <c r="F248" s="89"/>
      <c r="G248" s="89"/>
      <c r="H248" s="89"/>
      <c r="I248" s="89"/>
      <c r="J248" s="53">
        <v>0</v>
      </c>
      <c r="K248" s="90">
        <v>0</v>
      </c>
      <c r="L248" s="52">
        <v>0</v>
      </c>
      <c r="M248" s="125">
        <v>0</v>
      </c>
      <c r="N248" s="25"/>
      <c r="O248" s="25"/>
      <c r="P248" s="5"/>
    </row>
    <row r="249" spans="1:16" ht="15.6" x14ac:dyDescent="0.3">
      <c r="A249" s="24"/>
      <c r="B249" s="53" t="s">
        <v>232</v>
      </c>
      <c r="C249" s="89"/>
      <c r="D249" s="89"/>
      <c r="E249" s="89"/>
      <c r="F249" s="89"/>
      <c r="G249" s="89"/>
      <c r="H249" s="89"/>
      <c r="I249" s="89"/>
      <c r="J249" s="53">
        <v>0</v>
      </c>
      <c r="K249" s="90">
        <v>0</v>
      </c>
      <c r="L249" s="52">
        <v>0</v>
      </c>
      <c r="M249" s="125">
        <v>0</v>
      </c>
      <c r="N249" s="25"/>
      <c r="O249" s="25"/>
      <c r="P249" s="5"/>
    </row>
    <row r="250" spans="1:16" ht="15.6" x14ac:dyDescent="0.3">
      <c r="A250" s="24"/>
      <c r="B250" s="53" t="s">
        <v>233</v>
      </c>
      <c r="C250" s="89"/>
      <c r="D250" s="89"/>
      <c r="E250" s="89"/>
      <c r="F250" s="89"/>
      <c r="G250" s="89"/>
      <c r="H250" s="89"/>
      <c r="I250" s="89"/>
      <c r="J250" s="53">
        <v>0</v>
      </c>
      <c r="K250" s="90">
        <v>0</v>
      </c>
      <c r="L250" s="52">
        <v>0</v>
      </c>
      <c r="M250" s="125">
        <v>0</v>
      </c>
      <c r="N250" s="25"/>
      <c r="O250" s="25"/>
      <c r="P250" s="5"/>
    </row>
    <row r="251" spans="1:16" ht="15.6" x14ac:dyDescent="0.3">
      <c r="A251" s="24"/>
      <c r="B251" s="53"/>
      <c r="C251" s="89"/>
      <c r="D251" s="89"/>
      <c r="E251" s="89"/>
      <c r="F251" s="89"/>
      <c r="G251" s="89"/>
      <c r="H251" s="89"/>
      <c r="I251" s="89"/>
      <c r="J251" s="53"/>
      <c r="K251" s="90"/>
      <c r="L251" s="52"/>
      <c r="M251" s="125"/>
      <c r="N251" s="25"/>
      <c r="O251" s="25"/>
      <c r="P251" s="5"/>
    </row>
    <row r="252" spans="1:16" ht="15.6" x14ac:dyDescent="0.3">
      <c r="A252" s="24"/>
      <c r="B252" s="25"/>
      <c r="C252" s="25"/>
      <c r="D252" s="91"/>
      <c r="E252" s="91"/>
      <c r="F252" s="91"/>
      <c r="G252" s="91"/>
      <c r="H252" s="91"/>
      <c r="I252" s="91"/>
      <c r="J252" s="34">
        <f>SUM(J238:J251)</f>
        <v>0</v>
      </c>
      <c r="K252" s="125">
        <f>SUM(K238:K251)</f>
        <v>0</v>
      </c>
      <c r="L252" s="52">
        <f>SUM(L238:L251)</f>
        <v>0</v>
      </c>
      <c r="M252" s="125">
        <f>SUM(M238:M251)</f>
        <v>0</v>
      </c>
      <c r="N252" s="25"/>
      <c r="O252" s="25"/>
      <c r="P252" s="5"/>
    </row>
    <row r="253" spans="1:16" ht="15.6" x14ac:dyDescent="0.3">
      <c r="A253" s="24"/>
      <c r="B253" s="25"/>
      <c r="C253" s="25"/>
      <c r="D253" s="91"/>
      <c r="E253" s="91"/>
      <c r="F253" s="91"/>
      <c r="G253" s="91"/>
      <c r="H253" s="91"/>
      <c r="I253" s="91"/>
      <c r="J253" s="34"/>
      <c r="K253" s="125"/>
      <c r="L253" s="52"/>
      <c r="M253" s="125"/>
      <c r="N253" s="25"/>
      <c r="O253" s="25"/>
      <c r="P253" s="5"/>
    </row>
    <row r="254" spans="1:16" ht="15.6" x14ac:dyDescent="0.3">
      <c r="A254" s="133"/>
      <c r="B254" s="14" t="s">
        <v>150</v>
      </c>
      <c r="C254" s="131"/>
      <c r="D254" s="137"/>
      <c r="E254" s="137"/>
      <c r="F254" s="137"/>
      <c r="G254" s="137"/>
      <c r="H254" s="137"/>
      <c r="I254" s="137"/>
      <c r="J254" s="80" t="s">
        <v>99</v>
      </c>
      <c r="K254" s="17" t="s">
        <v>100</v>
      </c>
      <c r="L254" s="80" t="s">
        <v>108</v>
      </c>
      <c r="M254" s="17" t="s">
        <v>100</v>
      </c>
      <c r="N254" s="131"/>
      <c r="O254" s="132"/>
      <c r="P254" s="5"/>
    </row>
    <row r="255" spans="1:16" ht="15.6" x14ac:dyDescent="0.3">
      <c r="A255" s="24"/>
      <c r="B255" s="53" t="s">
        <v>85</v>
      </c>
      <c r="C255" s="25"/>
      <c r="D255" s="91"/>
      <c r="E255" s="91"/>
      <c r="F255" s="91"/>
      <c r="G255" s="91"/>
      <c r="H255" s="91"/>
      <c r="I255" s="91"/>
      <c r="J255" s="53">
        <v>0</v>
      </c>
      <c r="K255" s="90">
        <f t="shared" ref="K255:K266" si="3">J255/$J$269</f>
        <v>0</v>
      </c>
      <c r="L255" s="52">
        <v>0</v>
      </c>
      <c r="M255" s="125">
        <f t="shared" ref="M255:M267" si="4">L255/$L$269</f>
        <v>0</v>
      </c>
      <c r="N255" s="25"/>
      <c r="O255" s="25"/>
      <c r="P255" s="5"/>
    </row>
    <row r="256" spans="1:16" ht="15.6" x14ac:dyDescent="0.3">
      <c r="A256" s="24"/>
      <c r="B256" s="53" t="s">
        <v>86</v>
      </c>
      <c r="C256" s="25"/>
      <c r="D256" s="91"/>
      <c r="E256" s="91"/>
      <c r="F256" s="91"/>
      <c r="G256" s="91"/>
      <c r="H256" s="91"/>
      <c r="I256" s="91"/>
      <c r="J256" s="53">
        <v>0</v>
      </c>
      <c r="K256" s="90">
        <f t="shared" si="3"/>
        <v>0</v>
      </c>
      <c r="L256" s="52">
        <v>0</v>
      </c>
      <c r="M256" s="125">
        <f t="shared" si="4"/>
        <v>0</v>
      </c>
      <c r="N256" s="25"/>
      <c r="O256" s="25"/>
      <c r="P256" s="5"/>
    </row>
    <row r="257" spans="1:16" ht="15.6" x14ac:dyDescent="0.3">
      <c r="A257" s="24"/>
      <c r="B257" s="53" t="s">
        <v>87</v>
      </c>
      <c r="C257" s="25"/>
      <c r="D257" s="91"/>
      <c r="E257" s="91"/>
      <c r="F257" s="91"/>
      <c r="G257" s="91"/>
      <c r="H257" s="91"/>
      <c r="I257" s="91"/>
      <c r="J257" s="53">
        <v>0</v>
      </c>
      <c r="K257" s="90">
        <f t="shared" si="3"/>
        <v>0</v>
      </c>
      <c r="L257" s="52">
        <v>0</v>
      </c>
      <c r="M257" s="125">
        <f t="shared" si="4"/>
        <v>0</v>
      </c>
      <c r="N257" s="25"/>
      <c r="O257" s="25"/>
      <c r="P257" s="5"/>
    </row>
    <row r="258" spans="1:16" ht="15.6" x14ac:dyDescent="0.3">
      <c r="A258" s="24"/>
      <c r="B258" s="53" t="s">
        <v>145</v>
      </c>
      <c r="C258" s="25"/>
      <c r="D258" s="91"/>
      <c r="E258" s="91"/>
      <c r="F258" s="91"/>
      <c r="G258" s="91"/>
      <c r="H258" s="91"/>
      <c r="I258" s="91"/>
      <c r="J258" s="53">
        <v>0</v>
      </c>
      <c r="K258" s="90">
        <f t="shared" si="3"/>
        <v>0</v>
      </c>
      <c r="L258" s="52">
        <v>0</v>
      </c>
      <c r="M258" s="125">
        <f t="shared" si="4"/>
        <v>0</v>
      </c>
      <c r="N258" s="25"/>
      <c r="O258" s="25"/>
      <c r="P258" s="5"/>
    </row>
    <row r="259" spans="1:16" ht="15.6" x14ac:dyDescent="0.3">
      <c r="A259" s="24"/>
      <c r="B259" s="53" t="s">
        <v>146</v>
      </c>
      <c r="C259" s="25"/>
      <c r="D259" s="91"/>
      <c r="E259" s="91"/>
      <c r="F259" s="91"/>
      <c r="G259" s="91"/>
      <c r="H259" s="91"/>
      <c r="I259" s="91"/>
      <c r="J259" s="53">
        <v>0</v>
      </c>
      <c r="K259" s="90">
        <f t="shared" si="3"/>
        <v>0</v>
      </c>
      <c r="L259" s="52">
        <v>0</v>
      </c>
      <c r="M259" s="125">
        <f t="shared" si="4"/>
        <v>0</v>
      </c>
      <c r="N259" s="25"/>
      <c r="O259" s="25"/>
      <c r="P259" s="5"/>
    </row>
    <row r="260" spans="1:16" ht="15.6" x14ac:dyDescent="0.3">
      <c r="A260" s="24"/>
      <c r="B260" s="53" t="s">
        <v>147</v>
      </c>
      <c r="C260" s="25"/>
      <c r="D260" s="91"/>
      <c r="E260" s="91"/>
      <c r="F260" s="91"/>
      <c r="G260" s="91"/>
      <c r="H260" s="91"/>
      <c r="I260" s="91"/>
      <c r="J260" s="53">
        <v>0</v>
      </c>
      <c r="K260" s="90">
        <f t="shared" si="3"/>
        <v>0</v>
      </c>
      <c r="L260" s="52">
        <v>0</v>
      </c>
      <c r="M260" s="125">
        <f t="shared" si="4"/>
        <v>0</v>
      </c>
      <c r="N260" s="25"/>
      <c r="O260" s="25"/>
      <c r="P260" s="5"/>
    </row>
    <row r="261" spans="1:16" ht="15.6" x14ac:dyDescent="0.3">
      <c r="A261" s="24"/>
      <c r="B261" s="53" t="s">
        <v>227</v>
      </c>
      <c r="C261" s="25"/>
      <c r="D261" s="91"/>
      <c r="E261" s="91"/>
      <c r="F261" s="91"/>
      <c r="G261" s="91"/>
      <c r="H261" s="91"/>
      <c r="I261" s="91"/>
      <c r="J261" s="53">
        <v>0</v>
      </c>
      <c r="K261" s="90">
        <f t="shared" si="3"/>
        <v>0</v>
      </c>
      <c r="L261" s="52">
        <v>0</v>
      </c>
      <c r="M261" s="125">
        <f t="shared" si="4"/>
        <v>0</v>
      </c>
      <c r="N261" s="25"/>
      <c r="O261" s="25"/>
      <c r="P261" s="5"/>
    </row>
    <row r="262" spans="1:16" ht="15.6" x14ac:dyDescent="0.3">
      <c r="A262" s="24"/>
      <c r="B262" s="53" t="s">
        <v>228</v>
      </c>
      <c r="C262" s="25"/>
      <c r="D262" s="91"/>
      <c r="E262" s="91"/>
      <c r="F262" s="91"/>
      <c r="G262" s="91"/>
      <c r="H262" s="91"/>
      <c r="I262" s="91"/>
      <c r="J262" s="53">
        <v>0</v>
      </c>
      <c r="K262" s="90">
        <f t="shared" si="3"/>
        <v>0</v>
      </c>
      <c r="L262" s="52">
        <v>0</v>
      </c>
      <c r="M262" s="125">
        <f t="shared" si="4"/>
        <v>0</v>
      </c>
      <c r="N262" s="25"/>
      <c r="O262" s="25"/>
      <c r="P262" s="5"/>
    </row>
    <row r="263" spans="1:16" ht="15.6" x14ac:dyDescent="0.3">
      <c r="A263" s="24"/>
      <c r="B263" s="53" t="s">
        <v>229</v>
      </c>
      <c r="C263" s="25"/>
      <c r="D263" s="91"/>
      <c r="E263" s="91"/>
      <c r="F263" s="91"/>
      <c r="G263" s="91"/>
      <c r="H263" s="91"/>
      <c r="I263" s="91"/>
      <c r="J263" s="53">
        <v>1</v>
      </c>
      <c r="K263" s="90">
        <f t="shared" si="3"/>
        <v>0.5</v>
      </c>
      <c r="L263" s="52">
        <v>87</v>
      </c>
      <c r="M263" s="125">
        <f t="shared" si="4"/>
        <v>0.38157894736842107</v>
      </c>
      <c r="N263" s="25"/>
      <c r="O263" s="25"/>
      <c r="P263" s="5"/>
    </row>
    <row r="264" spans="1:16" ht="15.6" x14ac:dyDescent="0.3">
      <c r="A264" s="24"/>
      <c r="B264" s="53" t="s">
        <v>230</v>
      </c>
      <c r="C264" s="25"/>
      <c r="D264" s="91"/>
      <c r="E264" s="91"/>
      <c r="F264" s="91"/>
      <c r="G264" s="91"/>
      <c r="H264" s="91"/>
      <c r="I264" s="91"/>
      <c r="J264" s="53">
        <v>1</v>
      </c>
      <c r="K264" s="90">
        <f t="shared" si="3"/>
        <v>0.5</v>
      </c>
      <c r="L264" s="52">
        <v>141</v>
      </c>
      <c r="M264" s="125">
        <f t="shared" si="4"/>
        <v>0.61842105263157898</v>
      </c>
      <c r="N264" s="25"/>
      <c r="O264" s="25"/>
      <c r="P264" s="5"/>
    </row>
    <row r="265" spans="1:16" ht="15.6" x14ac:dyDescent="0.3">
      <c r="A265" s="24"/>
      <c r="B265" s="53" t="s">
        <v>231</v>
      </c>
      <c r="C265" s="25"/>
      <c r="D265" s="91"/>
      <c r="E265" s="91"/>
      <c r="F265" s="91"/>
      <c r="G265" s="91"/>
      <c r="H265" s="91"/>
      <c r="I265" s="91"/>
      <c r="J265" s="53">
        <v>0</v>
      </c>
      <c r="K265" s="90">
        <f t="shared" si="3"/>
        <v>0</v>
      </c>
      <c r="L265" s="52">
        <v>0</v>
      </c>
      <c r="M265" s="125">
        <f t="shared" si="4"/>
        <v>0</v>
      </c>
      <c r="N265" s="25"/>
      <c r="O265" s="25"/>
      <c r="P265" s="5"/>
    </row>
    <row r="266" spans="1:16" ht="15.6" x14ac:dyDescent="0.3">
      <c r="A266" s="24"/>
      <c r="B266" s="53" t="s">
        <v>232</v>
      </c>
      <c r="C266" s="25"/>
      <c r="D266" s="91"/>
      <c r="E266" s="91"/>
      <c r="F266" s="91"/>
      <c r="G266" s="91"/>
      <c r="H266" s="91"/>
      <c r="I266" s="91"/>
      <c r="J266" s="53">
        <v>0</v>
      </c>
      <c r="K266" s="90">
        <f t="shared" si="3"/>
        <v>0</v>
      </c>
      <c r="L266" s="52">
        <v>0</v>
      </c>
      <c r="M266" s="125">
        <f t="shared" si="4"/>
        <v>0</v>
      </c>
      <c r="N266" s="25"/>
      <c r="O266" s="25"/>
      <c r="P266" s="5"/>
    </row>
    <row r="267" spans="1:16" ht="15.6" x14ac:dyDescent="0.3">
      <c r="A267" s="24"/>
      <c r="B267" s="53" t="s">
        <v>233</v>
      </c>
      <c r="C267" s="25"/>
      <c r="D267" s="91"/>
      <c r="E267" s="91"/>
      <c r="F267" s="91"/>
      <c r="G267" s="91"/>
      <c r="H267" s="91"/>
      <c r="I267" s="91"/>
      <c r="J267" s="53">
        <v>0</v>
      </c>
      <c r="K267" s="90">
        <v>0</v>
      </c>
      <c r="L267" s="52">
        <v>0</v>
      </c>
      <c r="M267" s="125">
        <f t="shared" si="4"/>
        <v>0</v>
      </c>
      <c r="N267" s="25"/>
      <c r="O267" s="25"/>
      <c r="P267" s="5"/>
    </row>
    <row r="268" spans="1:16" ht="15.6" x14ac:dyDescent="0.3">
      <c r="A268" s="24"/>
      <c r="B268" s="53"/>
      <c r="C268" s="25"/>
      <c r="D268" s="91"/>
      <c r="E268" s="91"/>
      <c r="F268" s="91"/>
      <c r="G268" s="91"/>
      <c r="H268" s="91"/>
      <c r="I268" s="91"/>
      <c r="J268" s="53"/>
      <c r="K268" s="90"/>
      <c r="L268" s="52"/>
      <c r="M268" s="125"/>
      <c r="N268" s="25"/>
      <c r="O268" s="25"/>
      <c r="P268" s="5"/>
    </row>
    <row r="269" spans="1:16" ht="15.6" x14ac:dyDescent="0.3">
      <c r="A269" s="24"/>
      <c r="B269" s="25" t="s">
        <v>114</v>
      </c>
      <c r="C269" s="25"/>
      <c r="D269" s="91"/>
      <c r="E269" s="91"/>
      <c r="F269" s="91"/>
      <c r="G269" s="91"/>
      <c r="H269" s="91"/>
      <c r="I269" s="91"/>
      <c r="J269" s="34">
        <f>SUM(J255:J267)</f>
        <v>2</v>
      </c>
      <c r="K269" s="90">
        <f>SUM(K255:K267)</f>
        <v>1</v>
      </c>
      <c r="L269" s="52">
        <f>SUM(L255:L267)</f>
        <v>228</v>
      </c>
      <c r="M269" s="125">
        <f>SUM(M255:M267)</f>
        <v>1</v>
      </c>
      <c r="N269" s="25"/>
      <c r="O269" s="25"/>
      <c r="P269" s="5"/>
    </row>
    <row r="270" spans="1:16" ht="15.6" x14ac:dyDescent="0.3">
      <c r="A270" s="24"/>
      <c r="B270" s="25"/>
      <c r="C270" s="25"/>
      <c r="D270" s="91"/>
      <c r="E270" s="91"/>
      <c r="F270" s="91"/>
      <c r="G270" s="91"/>
      <c r="H270" s="91"/>
      <c r="I270" s="91"/>
      <c r="J270" s="34"/>
      <c r="K270" s="125"/>
      <c r="L270" s="52"/>
      <c r="M270" s="125"/>
      <c r="N270" s="25"/>
      <c r="O270" s="25"/>
      <c r="P270" s="5"/>
    </row>
    <row r="271" spans="1:16" ht="15.6" x14ac:dyDescent="0.3">
      <c r="A271" s="24"/>
      <c r="B271" s="134" t="s">
        <v>151</v>
      </c>
      <c r="C271" s="25"/>
      <c r="D271" s="91"/>
      <c r="E271" s="91"/>
      <c r="F271" s="91"/>
      <c r="G271" s="91"/>
      <c r="H271" s="91"/>
      <c r="I271" s="91"/>
      <c r="J271" s="149">
        <f>J269+J252+J235</f>
        <v>4792</v>
      </c>
      <c r="K271" s="135"/>
      <c r="L271" s="136">
        <f>+L269+L252+L235</f>
        <v>214911</v>
      </c>
      <c r="M271" s="135"/>
      <c r="N271" s="25"/>
      <c r="O271" s="25"/>
      <c r="P271" s="5"/>
    </row>
    <row r="272" spans="1:16" ht="15.6" x14ac:dyDescent="0.3">
      <c r="A272" s="24"/>
      <c r="B272" s="25"/>
      <c r="C272" s="25"/>
      <c r="D272" s="91"/>
      <c r="E272" s="91"/>
      <c r="F272" s="91"/>
      <c r="G272" s="91"/>
      <c r="H272" s="91"/>
      <c r="I272" s="91"/>
      <c r="J272" s="91"/>
      <c r="K272" s="91"/>
      <c r="L272" s="52"/>
      <c r="M272" s="91"/>
      <c r="N272" s="25"/>
      <c r="O272" s="25"/>
      <c r="P272" s="5"/>
    </row>
    <row r="273" spans="1:16" ht="15.6" x14ac:dyDescent="0.3">
      <c r="A273" s="6"/>
      <c r="B273" s="8"/>
      <c r="C273" s="8"/>
      <c r="D273" s="92"/>
      <c r="E273" s="92"/>
      <c r="F273" s="92"/>
      <c r="G273" s="92"/>
      <c r="H273" s="92"/>
      <c r="I273" s="92"/>
      <c r="J273" s="92"/>
      <c r="K273" s="92"/>
      <c r="L273" s="93"/>
      <c r="M273" s="92"/>
      <c r="N273" s="8"/>
      <c r="O273" s="8"/>
      <c r="P273" s="5"/>
    </row>
    <row r="274" spans="1:16" ht="15.6" x14ac:dyDescent="0.3">
      <c r="A274" s="179"/>
      <c r="B274" s="14" t="s">
        <v>88</v>
      </c>
      <c r="C274" s="15"/>
      <c r="D274" s="17" t="s">
        <v>94</v>
      </c>
      <c r="E274" s="15"/>
      <c r="F274" s="14" t="s">
        <v>96</v>
      </c>
      <c r="G274" s="174"/>
      <c r="H274" s="174"/>
      <c r="I274" s="174"/>
      <c r="J274" s="17"/>
      <c r="K274" s="15"/>
      <c r="L274" s="14"/>
      <c r="M274" s="174"/>
      <c r="N274" s="174"/>
      <c r="O274" s="174"/>
      <c r="P274" s="5"/>
    </row>
    <row r="275" spans="1:16" ht="15.6" x14ac:dyDescent="0.3">
      <c r="A275" s="179"/>
      <c r="B275" s="174"/>
      <c r="C275" s="8"/>
      <c r="D275" s="8"/>
      <c r="E275" s="8"/>
      <c r="F275" s="8"/>
      <c r="G275" s="174"/>
      <c r="H275" s="174"/>
      <c r="I275" s="174"/>
      <c r="J275" s="8"/>
      <c r="K275" s="8"/>
      <c r="L275" s="8"/>
      <c r="M275" s="174"/>
      <c r="N275" s="174"/>
      <c r="O275" s="174"/>
      <c r="P275" s="5"/>
    </row>
    <row r="276" spans="1:16" ht="15.6" x14ac:dyDescent="0.3">
      <c r="A276" s="179"/>
      <c r="B276" s="13" t="s">
        <v>89</v>
      </c>
      <c r="C276" s="13"/>
      <c r="D276" s="123" t="s">
        <v>138</v>
      </c>
      <c r="E276" s="13"/>
      <c r="F276" s="13" t="s">
        <v>141</v>
      </c>
      <c r="G276" s="174"/>
      <c r="H276" s="174"/>
      <c r="I276" s="174"/>
      <c r="J276" s="123"/>
      <c r="K276" s="13"/>
      <c r="L276" s="13"/>
      <c r="M276" s="174"/>
      <c r="N276" s="174"/>
      <c r="O276" s="174"/>
      <c r="P276" s="5"/>
    </row>
    <row r="277" spans="1:16" ht="15.6" x14ac:dyDescent="0.3">
      <c r="A277" s="13"/>
      <c r="B277" s="13" t="s">
        <v>239</v>
      </c>
      <c r="C277" s="13"/>
      <c r="D277" s="123" t="s">
        <v>240</v>
      </c>
      <c r="E277" s="123"/>
      <c r="F277" s="13" t="s">
        <v>241</v>
      </c>
      <c r="G277" s="13"/>
      <c r="H277" s="174"/>
      <c r="I277" s="174"/>
      <c r="J277" s="123"/>
      <c r="K277" s="13"/>
      <c r="L277" s="13"/>
      <c r="M277" s="174"/>
      <c r="N277" s="174"/>
      <c r="O277" s="174"/>
      <c r="P277" s="5"/>
    </row>
    <row r="278" spans="1:16" ht="15.6" x14ac:dyDescent="0.3">
      <c r="A278" s="179"/>
      <c r="B278" s="13" t="s">
        <v>90</v>
      </c>
      <c r="C278" s="13"/>
      <c r="D278" s="123" t="s">
        <v>137</v>
      </c>
      <c r="E278" s="13"/>
      <c r="F278" s="13" t="s">
        <v>142</v>
      </c>
      <c r="G278" s="174"/>
      <c r="H278" s="174"/>
      <c r="I278" s="174"/>
      <c r="J278" s="123"/>
      <c r="K278" s="13"/>
      <c r="L278" s="13"/>
      <c r="M278" s="174"/>
      <c r="N278" s="174"/>
      <c r="O278" s="174"/>
      <c r="P278" s="5"/>
    </row>
    <row r="279" spans="1:16" ht="15.6" x14ac:dyDescent="0.3">
      <c r="A279" s="179"/>
      <c r="B279" s="13"/>
      <c r="C279" s="13"/>
      <c r="D279" s="174"/>
      <c r="E279" s="174"/>
      <c r="F279" s="174"/>
      <c r="G279" s="174"/>
      <c r="H279" s="174"/>
      <c r="I279" s="174"/>
      <c r="J279" s="174"/>
      <c r="K279" s="174"/>
      <c r="L279" s="174"/>
      <c r="M279" s="174"/>
      <c r="N279" s="174"/>
      <c r="O279" s="174"/>
      <c r="P279" s="5"/>
    </row>
    <row r="280" spans="1:16" ht="15.6" x14ac:dyDescent="0.3">
      <c r="A280" s="179"/>
      <c r="B280" s="13"/>
      <c r="C280" s="13"/>
      <c r="D280" s="174"/>
      <c r="E280" s="174"/>
      <c r="F280" s="174"/>
      <c r="G280" s="174"/>
      <c r="H280" s="174"/>
      <c r="I280" s="174"/>
      <c r="J280" s="174"/>
      <c r="K280" s="174"/>
      <c r="L280" s="174"/>
      <c r="M280" s="174"/>
      <c r="N280" s="174"/>
      <c r="O280" s="174"/>
      <c r="P280" s="5"/>
    </row>
    <row r="281" spans="1:16" ht="18" thickBot="1" x14ac:dyDescent="0.35">
      <c r="A281" s="179"/>
      <c r="B281" s="48" t="str">
        <f>B182</f>
        <v>FF7 INVESTOR REPORT QUARTER ENDING AUGUST 2007</v>
      </c>
      <c r="C281" s="13"/>
      <c r="D281" s="174"/>
      <c r="E281" s="174"/>
      <c r="F281" s="174"/>
      <c r="G281" s="174"/>
      <c r="H281" s="174"/>
      <c r="I281" s="174"/>
      <c r="J281" s="174"/>
      <c r="K281" s="174"/>
      <c r="L281" s="174"/>
      <c r="M281" s="174"/>
      <c r="N281" s="174"/>
      <c r="O281" s="174"/>
      <c r="P281" s="5"/>
    </row>
    <row r="282" spans="1:16" x14ac:dyDescent="0.25">
      <c r="A282" s="95"/>
      <c r="B282" s="95"/>
      <c r="C282" s="95"/>
      <c r="D282" s="95"/>
      <c r="E282" s="95"/>
      <c r="F282" s="95"/>
      <c r="G282" s="95"/>
      <c r="H282" s="95"/>
      <c r="I282" s="95"/>
      <c r="J282" s="95"/>
      <c r="K282" s="95"/>
      <c r="L282" s="95"/>
      <c r="M282" s="95"/>
      <c r="N282" s="95"/>
      <c r="O282"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3" manualBreakCount="3">
    <brk id="52" max="14" man="1"/>
    <brk id="115" max="14" man="1"/>
    <brk id="182"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sheetPr>
  <dimension ref="A1:IV299"/>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6.0199999999999997E-2</v>
      </c>
      <c r="L16" s="232" t="s">
        <v>133</v>
      </c>
      <c r="M16" s="231">
        <v>0.93979999999999997</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40987</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152</v>
      </c>
      <c r="G25" s="386"/>
      <c r="H25" s="386" t="s">
        <v>135</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83837.288100000005</v>
      </c>
      <c r="E29" s="279"/>
      <c r="F29" s="279">
        <f>F28*F32</f>
        <v>2675.5911900000001</v>
      </c>
      <c r="G29" s="279"/>
      <c r="H29" s="279">
        <f>H28*H32</f>
        <v>2675.5911900000001</v>
      </c>
      <c r="I29" s="279"/>
      <c r="J29" s="284"/>
      <c r="K29" s="279"/>
      <c r="L29" s="279"/>
      <c r="M29" s="280"/>
      <c r="N29" s="279">
        <f>SUM(D29:H29)+1</f>
        <v>89189.470480000018</v>
      </c>
      <c r="O29" s="281"/>
      <c r="P29" s="5"/>
    </row>
    <row r="30" spans="1:16" ht="15.6" x14ac:dyDescent="0.3">
      <c r="A30" s="274"/>
      <c r="B30" s="275" t="s">
        <v>130</v>
      </c>
      <c r="C30" s="278"/>
      <c r="D30" s="285">
        <f>D28*D31</f>
        <v>79256.864499999996</v>
      </c>
      <c r="E30" s="285"/>
      <c r="F30" s="285">
        <f>F28*F31</f>
        <v>2529.4072500000002</v>
      </c>
      <c r="G30" s="285"/>
      <c r="H30" s="285">
        <f>H28*H31</f>
        <v>2529.4072500000002</v>
      </c>
      <c r="I30" s="285"/>
      <c r="J30" s="288"/>
      <c r="K30" s="279"/>
      <c r="L30" s="279"/>
      <c r="M30" s="280"/>
      <c r="N30" s="285">
        <f>SUM(D30:I30)</f>
        <v>84315.679000000004</v>
      </c>
      <c r="O30" s="281"/>
      <c r="P30" s="5"/>
    </row>
    <row r="31" spans="1:16" ht="15.6" x14ac:dyDescent="0.3">
      <c r="A31" s="262"/>
      <c r="B31" s="290" t="s">
        <v>126</v>
      </c>
      <c r="C31" s="291"/>
      <c r="D31" s="292">
        <v>0.30424899999999999</v>
      </c>
      <c r="E31" s="292"/>
      <c r="F31" s="292">
        <v>0.62454500000000002</v>
      </c>
      <c r="G31" s="292"/>
      <c r="H31" s="292">
        <v>0.62454500000000002</v>
      </c>
      <c r="I31" s="293"/>
      <c r="J31" s="293"/>
      <c r="K31" s="294"/>
      <c r="L31" s="294"/>
      <c r="M31" s="269"/>
      <c r="N31" s="269"/>
      <c r="O31" s="270"/>
      <c r="P31" s="5"/>
    </row>
    <row r="32" spans="1:16" ht="15.6" x14ac:dyDescent="0.3">
      <c r="A32" s="262"/>
      <c r="B32" s="290" t="s">
        <v>127</v>
      </c>
      <c r="C32" s="291"/>
      <c r="D32" s="292">
        <v>0.32183220000000001</v>
      </c>
      <c r="E32" s="292"/>
      <c r="F32" s="292">
        <v>0.6606398</v>
      </c>
      <c r="G32" s="292"/>
      <c r="H32" s="292">
        <v>0.6606398</v>
      </c>
      <c r="I32" s="293"/>
      <c r="J32" s="293"/>
      <c r="K32" s="295"/>
      <c r="L32" s="296"/>
      <c r="M32" s="269"/>
      <c r="N32" s="295"/>
      <c r="O32" s="270"/>
      <c r="P32" s="5"/>
    </row>
    <row r="33" spans="1:17" ht="15.6" x14ac:dyDescent="0.3">
      <c r="A33" s="274"/>
      <c r="B33" s="263" t="s">
        <v>9</v>
      </c>
      <c r="C33" s="263"/>
      <c r="D33" s="276" t="s">
        <v>192</v>
      </c>
      <c r="E33" s="276"/>
      <c r="F33" s="276" t="s">
        <v>194</v>
      </c>
      <c r="G33" s="276"/>
      <c r="H33" s="276" t="s">
        <v>196</v>
      </c>
      <c r="I33" s="276"/>
      <c r="J33" s="276"/>
      <c r="K33" s="297"/>
      <c r="L33" s="298"/>
      <c r="M33" s="268"/>
      <c r="N33" s="268"/>
      <c r="O33" s="266"/>
      <c r="P33" s="5"/>
    </row>
    <row r="34" spans="1:17" ht="15.6" x14ac:dyDescent="0.3">
      <c r="A34" s="274"/>
      <c r="B34" s="263" t="s">
        <v>10</v>
      </c>
      <c r="C34" s="263"/>
      <c r="D34" s="298">
        <v>1.18131E-2</v>
      </c>
      <c r="E34" s="297"/>
      <c r="F34" s="298">
        <v>1.24131E-2</v>
      </c>
      <c r="G34" s="297"/>
      <c r="H34" s="298">
        <v>1.3413100000000001E-2</v>
      </c>
      <c r="I34" s="297"/>
      <c r="J34" s="298"/>
      <c r="K34" s="297"/>
      <c r="L34" s="298"/>
      <c r="M34" s="268"/>
      <c r="N34" s="297">
        <f>SUMPRODUCT(D34:H34,D29:H29)/N29</f>
        <v>1.1878965258380664E-2</v>
      </c>
      <c r="O34" s="266"/>
      <c r="P34" s="5"/>
    </row>
    <row r="35" spans="1:17" ht="15.6" x14ac:dyDescent="0.3">
      <c r="A35" s="274"/>
      <c r="B35" s="263" t="s">
        <v>11</v>
      </c>
      <c r="C35" s="263"/>
      <c r="D35" s="298">
        <v>1.0378099999999999E-2</v>
      </c>
      <c r="E35" s="297"/>
      <c r="F35" s="298">
        <v>1.0978099999999999E-2</v>
      </c>
      <c r="G35" s="297"/>
      <c r="H35" s="298">
        <v>1.19781E-2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6.3828092770437578E-2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40983</v>
      </c>
      <c r="O45" s="266"/>
      <c r="P45" s="5"/>
    </row>
    <row r="46" spans="1:17" ht="15.6" x14ac:dyDescent="0.3">
      <c r="A46" s="274"/>
      <c r="B46" s="263" t="s">
        <v>119</v>
      </c>
      <c r="C46" s="263"/>
      <c r="D46" s="305"/>
      <c r="E46" s="305"/>
      <c r="F46" s="305"/>
      <c r="G46" s="305"/>
      <c r="H46" s="305"/>
      <c r="I46" s="305"/>
      <c r="J46" s="263">
        <f>+N46-L46+1</f>
        <v>91</v>
      </c>
      <c r="K46" s="305"/>
      <c r="L46" s="306">
        <v>40801</v>
      </c>
      <c r="M46" s="307"/>
      <c r="N46" s="306">
        <v>40891</v>
      </c>
      <c r="O46" s="266"/>
      <c r="P46" s="5"/>
    </row>
    <row r="47" spans="1:17" ht="15.6" x14ac:dyDescent="0.3">
      <c r="A47" s="274"/>
      <c r="B47" s="263" t="s">
        <v>120</v>
      </c>
      <c r="C47" s="263"/>
      <c r="D47" s="263"/>
      <c r="E47" s="263"/>
      <c r="F47" s="263"/>
      <c r="G47" s="263"/>
      <c r="H47" s="263"/>
      <c r="I47" s="263"/>
      <c r="J47" s="263">
        <f>+N47-L47+1</f>
        <v>91</v>
      </c>
      <c r="K47" s="263"/>
      <c r="L47" s="306">
        <v>40892</v>
      </c>
      <c r="M47" s="307"/>
      <c r="N47" s="306">
        <v>40982</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40969</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265</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89189</v>
      </c>
      <c r="G56" s="264"/>
      <c r="H56" s="264">
        <f>4873+430+963</f>
        <v>6266</v>
      </c>
      <c r="I56" s="264"/>
      <c r="J56" s="264">
        <f>430+963</f>
        <v>1393</v>
      </c>
      <c r="K56" s="264"/>
      <c r="L56" s="264">
        <v>0</v>
      </c>
      <c r="M56" s="264"/>
      <c r="N56" s="265">
        <f>+F56-H56+J56-L56</f>
        <v>84316</v>
      </c>
      <c r="O56" s="266"/>
      <c r="P56" s="5"/>
    </row>
    <row r="57" spans="1:16" ht="15.6" x14ac:dyDescent="0.3">
      <c r="A57" s="262"/>
      <c r="B57" s="263" t="s">
        <v>209</v>
      </c>
      <c r="C57" s="264"/>
      <c r="D57" s="264">
        <v>756</v>
      </c>
      <c r="E57" s="264"/>
      <c r="F57" s="265">
        <v>436</v>
      </c>
      <c r="G57" s="264"/>
      <c r="H57" s="264">
        <v>14</v>
      </c>
      <c r="I57" s="264"/>
      <c r="J57" s="264">
        <v>0</v>
      </c>
      <c r="K57" s="264"/>
      <c r="L57" s="264">
        <v>0</v>
      </c>
      <c r="M57" s="264"/>
      <c r="N57" s="265">
        <f>+F57-H57</f>
        <v>422</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89625</v>
      </c>
      <c r="G59" s="264"/>
      <c r="H59" s="264">
        <f>SUM(H56:H58)</f>
        <v>6280</v>
      </c>
      <c r="I59" s="264"/>
      <c r="J59" s="264">
        <f>SUM(J56:J58)</f>
        <v>1393</v>
      </c>
      <c r="K59" s="264"/>
      <c r="L59" s="264">
        <f>SUM(L56:L58)</f>
        <v>0</v>
      </c>
      <c r="M59" s="264"/>
      <c r="N59" s="264">
        <f>SUM(N56:N58)</f>
        <v>84738</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-452</v>
      </c>
      <c r="G68" s="264"/>
      <c r="H68" s="264"/>
      <c r="I68" s="264"/>
      <c r="J68" s="264"/>
      <c r="K68" s="264"/>
      <c r="L68" s="264"/>
      <c r="M68" s="264"/>
      <c r="N68" s="265">
        <f>-N57</f>
        <v>-422</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89173</v>
      </c>
      <c r="G72" s="264"/>
      <c r="H72" s="264"/>
      <c r="I72" s="264"/>
      <c r="J72" s="264"/>
      <c r="K72" s="264"/>
      <c r="L72" s="264"/>
      <c r="M72" s="264"/>
      <c r="N72" s="264">
        <f>SUM(N59:N71)</f>
        <v>84316</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40968</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v>6266</v>
      </c>
      <c r="M77" s="263"/>
      <c r="N77" s="265"/>
      <c r="O77" s="266"/>
      <c r="P77" s="5"/>
    </row>
    <row r="78" spans="1:16" ht="15.6" x14ac:dyDescent="0.3">
      <c r="A78" s="262"/>
      <c r="B78" s="263" t="s">
        <v>176</v>
      </c>
      <c r="C78" s="263"/>
      <c r="D78" s="300"/>
      <c r="E78" s="263"/>
      <c r="F78" s="309"/>
      <c r="G78" s="263"/>
      <c r="H78" s="263"/>
      <c r="I78" s="263"/>
      <c r="J78" s="263"/>
      <c r="K78" s="263"/>
      <c r="L78" s="264"/>
      <c r="M78" s="263"/>
      <c r="N78" s="265">
        <f>2135+123+1598-2566-61-1054</f>
        <v>175</v>
      </c>
      <c r="O78" s="266"/>
      <c r="P78" s="5"/>
    </row>
    <row r="79" spans="1:16" ht="15.6" x14ac:dyDescent="0.3">
      <c r="A79" s="262"/>
      <c r="B79" s="263" t="s">
        <v>174</v>
      </c>
      <c r="C79" s="263"/>
      <c r="D79" s="300"/>
      <c r="E79" s="263"/>
      <c r="F79" s="309"/>
      <c r="G79" s="263"/>
      <c r="H79" s="263"/>
      <c r="I79" s="263"/>
      <c r="J79" s="263"/>
      <c r="K79" s="263"/>
      <c r="L79" s="264"/>
      <c r="M79" s="263"/>
      <c r="N79" s="265">
        <f>52+1+35</f>
        <v>88</v>
      </c>
      <c r="O79" s="266"/>
      <c r="P79" s="5"/>
    </row>
    <row r="80" spans="1:16" ht="15.6" x14ac:dyDescent="0.3">
      <c r="A80" s="262"/>
      <c r="B80" s="263" t="s">
        <v>175</v>
      </c>
      <c r="C80" s="263"/>
      <c r="D80" s="300"/>
      <c r="E80" s="263"/>
      <c r="F80" s="309"/>
      <c r="G80" s="263"/>
      <c r="H80" s="263"/>
      <c r="I80" s="263"/>
      <c r="J80" s="263"/>
      <c r="K80" s="263"/>
      <c r="L80" s="264"/>
      <c r="M80" s="263"/>
      <c r="N80" s="265">
        <v>8</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6266</v>
      </c>
      <c r="M83" s="263"/>
      <c r="N83" s="264">
        <f>SUM(N76:N82)</f>
        <v>271</v>
      </c>
      <c r="O83" s="266"/>
      <c r="P83" s="5"/>
    </row>
    <row r="84" spans="1:17" ht="15.6" x14ac:dyDescent="0.3">
      <c r="A84" s="262"/>
      <c r="B84" s="263" t="s">
        <v>148</v>
      </c>
      <c r="C84" s="263"/>
      <c r="D84" s="263"/>
      <c r="E84" s="263"/>
      <c r="F84" s="263"/>
      <c r="G84" s="263"/>
      <c r="H84" s="263"/>
      <c r="I84" s="263"/>
      <c r="J84" s="263"/>
      <c r="K84" s="263"/>
      <c r="L84" s="264">
        <v>-963</v>
      </c>
      <c r="M84" s="263"/>
      <c r="N84" s="264">
        <f>-L84</f>
        <v>963</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5303</v>
      </c>
      <c r="M87" s="263"/>
      <c r="N87" s="264">
        <f>N83+N85+N84+N86</f>
        <v>1234</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-34-1-96</f>
        <v>-131</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-247</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-8</v>
      </c>
      <c r="O95" s="266"/>
      <c r="P95" s="5"/>
      <c r="Q95" s="104"/>
    </row>
    <row r="96" spans="1:17" ht="15.6" x14ac:dyDescent="0.3">
      <c r="A96" s="274" t="s">
        <v>170</v>
      </c>
      <c r="B96" s="263" t="s">
        <v>216</v>
      </c>
      <c r="C96" s="263"/>
      <c r="D96" s="263"/>
      <c r="E96" s="263"/>
      <c r="F96" s="263"/>
      <c r="G96" s="263"/>
      <c r="H96" s="263"/>
      <c r="I96" s="263"/>
      <c r="J96" s="263"/>
      <c r="K96" s="263"/>
      <c r="L96" s="263"/>
      <c r="M96" s="263"/>
      <c r="N96" s="265">
        <v>-9</v>
      </c>
      <c r="O96" s="266"/>
      <c r="P96" s="5"/>
      <c r="Q96" s="104"/>
    </row>
    <row r="97" spans="1:16" ht="15.6" x14ac:dyDescent="0.3">
      <c r="A97" s="274">
        <v>7</v>
      </c>
      <c r="B97" s="263" t="s">
        <v>33</v>
      </c>
      <c r="C97" s="263"/>
      <c r="D97" s="263"/>
      <c r="E97" s="263"/>
      <c r="F97" s="263"/>
      <c r="G97" s="263"/>
      <c r="H97" s="263"/>
      <c r="I97" s="263"/>
      <c r="J97" s="263"/>
      <c r="K97" s="263"/>
      <c r="L97" s="263"/>
      <c r="M97" s="263"/>
      <c r="N97" s="265">
        <v>-9</v>
      </c>
      <c r="O97" s="266"/>
      <c r="P97" s="5"/>
    </row>
    <row r="98" spans="1:16" ht="15.6" x14ac:dyDescent="0.3">
      <c r="A98" s="274">
        <f t="shared" ref="A98:A104" si="0">+A97+1</f>
        <v>8</v>
      </c>
      <c r="B98" s="263" t="s">
        <v>42</v>
      </c>
      <c r="C98" s="263"/>
      <c r="D98" s="263"/>
      <c r="E98" s="263"/>
      <c r="F98" s="263"/>
      <c r="G98" s="263"/>
      <c r="H98" s="263"/>
      <c r="I98" s="263"/>
      <c r="J98" s="263"/>
      <c r="K98" s="263"/>
      <c r="L98" s="264">
        <f>-N98</f>
        <v>0</v>
      </c>
      <c r="M98" s="263"/>
      <c r="N98" s="265">
        <v>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-33</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-794</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-430</v>
      </c>
      <c r="M107" s="264"/>
      <c r="N107" s="265"/>
      <c r="O107" s="266"/>
      <c r="P107" s="5"/>
    </row>
    <row r="108" spans="1:16" ht="15.6" x14ac:dyDescent="0.3">
      <c r="A108" s="274"/>
      <c r="B108" s="263" t="s">
        <v>200</v>
      </c>
      <c r="C108" s="263"/>
      <c r="D108" s="263"/>
      <c r="E108" s="263"/>
      <c r="F108" s="263"/>
      <c r="G108" s="263"/>
      <c r="H108" s="263"/>
      <c r="I108" s="263"/>
      <c r="J108" s="263"/>
      <c r="K108" s="263"/>
      <c r="L108" s="264">
        <v>-4581</v>
      </c>
      <c r="M108" s="264"/>
      <c r="N108" s="265"/>
      <c r="O108" s="266"/>
      <c r="P108" s="5"/>
    </row>
    <row r="109" spans="1:16" ht="15.6" x14ac:dyDescent="0.3">
      <c r="A109" s="274"/>
      <c r="B109" s="263" t="s">
        <v>201</v>
      </c>
      <c r="C109" s="263"/>
      <c r="D109" s="263"/>
      <c r="E109" s="263"/>
      <c r="F109" s="263"/>
      <c r="G109" s="263"/>
      <c r="H109" s="263"/>
      <c r="I109" s="263"/>
      <c r="J109" s="263"/>
      <c r="K109" s="263"/>
      <c r="L109" s="264">
        <v>-146</v>
      </c>
      <c r="M109" s="264"/>
      <c r="N109" s="265"/>
      <c r="O109" s="266"/>
      <c r="P109" s="5"/>
    </row>
    <row r="110" spans="1:16" ht="15.6" x14ac:dyDescent="0.3">
      <c r="A110" s="274"/>
      <c r="B110" s="263" t="s">
        <v>202</v>
      </c>
      <c r="C110" s="263"/>
      <c r="D110" s="263"/>
      <c r="E110" s="263"/>
      <c r="F110" s="263"/>
      <c r="G110" s="263"/>
      <c r="H110" s="263"/>
      <c r="I110" s="263"/>
      <c r="J110" s="263"/>
      <c r="K110" s="263"/>
      <c r="L110" s="264">
        <v>-146</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-5303</v>
      </c>
      <c r="M111" s="264"/>
      <c r="N111" s="264">
        <f>SUM(N88:N109)</f>
        <v>-1234</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FEBRUARY 2012</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0</v>
      </c>
      <c r="O144" s="266"/>
      <c r="P144" s="5"/>
    </row>
    <row r="145" spans="1:256" ht="15.6" x14ac:dyDescent="0.3">
      <c r="A145" s="262"/>
      <c r="B145" s="263" t="s">
        <v>51</v>
      </c>
      <c r="C145" s="263"/>
      <c r="D145" s="263"/>
      <c r="E145" s="263"/>
      <c r="F145" s="263"/>
      <c r="G145" s="263"/>
      <c r="H145" s="263"/>
      <c r="I145" s="263"/>
      <c r="J145" s="263"/>
      <c r="K145" s="263"/>
      <c r="L145" s="263"/>
      <c r="M145" s="263"/>
      <c r="N145" s="265">
        <f>+N143+N144</f>
        <v>0</v>
      </c>
      <c r="O145" s="266"/>
      <c r="P145" s="5"/>
    </row>
    <row r="146" spans="1:256" ht="15.6" x14ac:dyDescent="0.3">
      <c r="A146" s="262"/>
      <c r="B146" s="263" t="s">
        <v>264</v>
      </c>
      <c r="C146" s="263"/>
      <c r="D146" s="263"/>
      <c r="E146" s="263"/>
      <c r="F146" s="263"/>
      <c r="G146" s="263"/>
      <c r="H146" s="263"/>
      <c r="I146" s="263"/>
      <c r="J146" s="263"/>
      <c r="K146" s="263"/>
      <c r="L146" s="263"/>
      <c r="M146" s="263"/>
      <c r="N146" s="265">
        <f>N98</f>
        <v>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84316</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84316</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+'Nov 11'!N161</f>
        <v>436</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14</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422</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+'Nov 11'!L168</f>
        <v>15667</v>
      </c>
      <c r="M166" s="263"/>
      <c r="N166" s="265">
        <f>K166+L166</f>
        <v>15667</v>
      </c>
      <c r="O166" s="266"/>
      <c r="P166" s="5"/>
    </row>
    <row r="167" spans="1:256" ht="15.6" x14ac:dyDescent="0.3">
      <c r="A167" s="262"/>
      <c r="B167" s="263" t="s">
        <v>58</v>
      </c>
      <c r="C167" s="263"/>
      <c r="D167" s="263"/>
      <c r="E167" s="263"/>
      <c r="F167" s="263"/>
      <c r="G167" s="263"/>
      <c r="H167" s="263"/>
      <c r="I167" s="263"/>
      <c r="J167" s="263"/>
      <c r="K167" s="264">
        <v>0</v>
      </c>
      <c r="L167" s="264">
        <f>-L107</f>
        <v>430</v>
      </c>
      <c r="M167" s="263"/>
      <c r="N167" s="265">
        <f>K167+L167</f>
        <v>430</v>
      </c>
      <c r="O167" s="266"/>
      <c r="P167" s="5"/>
    </row>
    <row r="168" spans="1:256" ht="15.6" x14ac:dyDescent="0.3">
      <c r="A168" s="262"/>
      <c r="B168" s="263" t="s">
        <v>59</v>
      </c>
      <c r="C168" s="263"/>
      <c r="D168" s="263"/>
      <c r="E168" s="263"/>
      <c r="F168" s="263"/>
      <c r="G168" s="263"/>
      <c r="H168" s="263"/>
      <c r="I168" s="263"/>
      <c r="J168" s="263"/>
      <c r="K168" s="265">
        <f>K166+K167</f>
        <v>0</v>
      </c>
      <c r="L168" s="265">
        <f>L167+L166</f>
        <v>16097</v>
      </c>
      <c r="M168" s="263"/>
      <c r="N168" s="265">
        <f>K168+L168</f>
        <v>16097</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4.4574898785425106</v>
      </c>
      <c r="O173" s="266" t="s">
        <v>115</v>
      </c>
      <c r="P173" s="5"/>
    </row>
    <row r="174" spans="1:256" ht="15.6" x14ac:dyDescent="0.3">
      <c r="A174" s="262"/>
      <c r="B174" s="263" t="s">
        <v>63</v>
      </c>
      <c r="C174" s="263"/>
      <c r="D174" s="263"/>
      <c r="E174" s="263"/>
      <c r="F174" s="263"/>
      <c r="G174" s="263"/>
      <c r="H174" s="263"/>
      <c r="I174" s="263"/>
      <c r="J174" s="263"/>
      <c r="K174" s="263"/>
      <c r="L174" s="263"/>
      <c r="M174" s="263"/>
      <c r="N174" s="315">
        <v>1.94</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106.75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42.53</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94</v>
      </c>
      <c r="O177" s="266" t="s">
        <v>115</v>
      </c>
      <c r="P177" s="5"/>
    </row>
    <row r="178" spans="1:16" ht="15.6" x14ac:dyDescent="0.3">
      <c r="A178" s="262"/>
      <c r="B178" s="263" t="s">
        <v>167</v>
      </c>
      <c r="C178" s="263"/>
      <c r="D178" s="263"/>
      <c r="E178" s="263"/>
      <c r="F178" s="263"/>
      <c r="G178" s="263"/>
      <c r="H178" s="263"/>
      <c r="I178" s="263"/>
      <c r="J178" s="263"/>
      <c r="K178" s="263"/>
      <c r="L178" s="263"/>
      <c r="M178" s="263"/>
      <c r="N178" s="315">
        <v>40.229999999999997</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FEBRUARY 2012</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40968</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5.3280000000000001E-2</v>
      </c>
      <c r="M188" s="263"/>
      <c r="N188" s="263"/>
      <c r="O188" s="266"/>
      <c r="P188" s="5"/>
    </row>
    <row r="189" spans="1:16" ht="15.6" x14ac:dyDescent="0.3">
      <c r="A189" s="321"/>
      <c r="B189" s="263" t="s">
        <v>212</v>
      </c>
      <c r="C189" s="322"/>
      <c r="D189" s="303"/>
      <c r="E189" s="303"/>
      <c r="F189" s="303"/>
      <c r="G189" s="303"/>
      <c r="H189" s="303"/>
      <c r="I189" s="303"/>
      <c r="J189" s="303"/>
      <c r="K189" s="303"/>
      <c r="L189" s="297">
        <f>N34</f>
        <v>1.1878965258380664E-2</v>
      </c>
      <c r="M189" s="263"/>
      <c r="N189" s="263"/>
      <c r="O189" s="266"/>
      <c r="P189" s="5"/>
    </row>
    <row r="190" spans="1:16" ht="15.6" x14ac:dyDescent="0.3">
      <c r="A190" s="321"/>
      <c r="B190" s="263" t="s">
        <v>70</v>
      </c>
      <c r="C190" s="322"/>
      <c r="D190" s="303"/>
      <c r="E190" s="303"/>
      <c r="F190" s="303"/>
      <c r="G190" s="303"/>
      <c r="H190" s="303"/>
      <c r="I190" s="303"/>
      <c r="J190" s="303"/>
      <c r="K190" s="303"/>
      <c r="L190" s="297">
        <f>L188-L189</f>
        <v>4.1401034741619339E-2</v>
      </c>
      <c r="M190" s="263"/>
      <c r="N190" s="263"/>
      <c r="O190" s="266"/>
      <c r="P190" s="5"/>
    </row>
    <row r="191" spans="1:16" ht="15.6" x14ac:dyDescent="0.3">
      <c r="A191" s="321"/>
      <c r="B191" s="263" t="s">
        <v>203</v>
      </c>
      <c r="C191" s="322"/>
      <c r="D191" s="303"/>
      <c r="E191" s="303"/>
      <c r="F191" s="303"/>
      <c r="G191" s="303"/>
      <c r="H191" s="303"/>
      <c r="I191" s="303"/>
      <c r="J191" s="303"/>
      <c r="K191" s="303"/>
      <c r="L191" s="297">
        <f>+N87/F59</f>
        <v>1.3768479776847978E-2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5.28</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7.0255300541546606E-2</v>
      </c>
      <c r="M197" s="263"/>
      <c r="N197" s="263"/>
      <c r="O197" s="266"/>
      <c r="P197" s="5"/>
    </row>
    <row r="198" spans="1:16" ht="15.6" x14ac:dyDescent="0.3">
      <c r="A198" s="321"/>
      <c r="B198" s="263" t="s">
        <v>74</v>
      </c>
      <c r="C198" s="322"/>
      <c r="D198" s="303"/>
      <c r="E198" s="303"/>
      <c r="F198" s="303"/>
      <c r="G198" s="303"/>
      <c r="H198" s="303"/>
      <c r="I198" s="303"/>
      <c r="J198" s="303"/>
      <c r="K198" s="303"/>
      <c r="L198" s="297">
        <v>0.26029999999999998</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18</v>
      </c>
      <c r="L201" s="331">
        <v>1051</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3</v>
      </c>
      <c r="L203" s="331">
        <f>+L286</f>
        <v>145</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0</v>
      </c>
      <c r="M207" s="291"/>
      <c r="N207" s="337"/>
      <c r="O207" s="342"/>
      <c r="P207" s="5"/>
    </row>
    <row r="208" spans="1:16" ht="15.6" x14ac:dyDescent="0.3">
      <c r="A208" s="330"/>
      <c r="B208" s="263" t="s">
        <v>82</v>
      </c>
      <c r="C208" s="264"/>
      <c r="D208" s="263"/>
      <c r="E208" s="263"/>
      <c r="F208" s="263"/>
      <c r="G208" s="263"/>
      <c r="H208" s="263"/>
      <c r="I208" s="263"/>
      <c r="J208" s="263"/>
      <c r="K208" s="276"/>
      <c r="L208" s="331">
        <f>'Nov 11'!L208+L207</f>
        <v>37</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2</v>
      </c>
      <c r="L210" s="331">
        <v>53</v>
      </c>
      <c r="M210" s="291"/>
      <c r="N210" s="337"/>
      <c r="O210" s="342"/>
      <c r="P210" s="5"/>
    </row>
    <row r="211" spans="1:17" ht="15.6" x14ac:dyDescent="0.3">
      <c r="A211" s="347"/>
      <c r="B211" s="263" t="s">
        <v>83</v>
      </c>
      <c r="C211" s="300"/>
      <c r="D211" s="263"/>
      <c r="E211" s="263"/>
      <c r="F211" s="263"/>
      <c r="G211" s="263"/>
      <c r="H211" s="263"/>
      <c r="I211" s="263"/>
      <c r="J211" s="263"/>
      <c r="K211" s="263"/>
      <c r="L211" s="339">
        <v>20.14</v>
      </c>
      <c r="M211" s="291"/>
      <c r="N211" s="337"/>
      <c r="O211" s="342"/>
      <c r="P211" s="5"/>
    </row>
    <row r="212" spans="1:17" ht="15.6" x14ac:dyDescent="0.3">
      <c r="A212" s="347"/>
      <c r="B212" s="263" t="s">
        <v>84</v>
      </c>
      <c r="C212" s="300"/>
      <c r="D212" s="263"/>
      <c r="E212" s="263"/>
      <c r="F212" s="263"/>
      <c r="G212" s="263"/>
      <c r="H212" s="263"/>
      <c r="I212" s="263"/>
      <c r="J212" s="263"/>
      <c r="K212" s="263"/>
      <c r="L212" s="339">
        <v>11.43</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1952</v>
      </c>
      <c r="K221" s="355">
        <f t="shared" ref="K221:K233" si="2">J221/$J$235</f>
        <v>0.93801057184046133</v>
      </c>
      <c r="L221" s="265">
        <f t="shared" ref="L221:L233" si="3">+L238+L255+L272</f>
        <v>75950</v>
      </c>
      <c r="M221" s="355">
        <f t="shared" ref="M221:M233" si="4">L221/$L$235</f>
        <v>0.90077802552303243</v>
      </c>
      <c r="N221" s="332"/>
      <c r="O221" s="356"/>
      <c r="P221" s="5"/>
    </row>
    <row r="222" spans="1:17" ht="15.6" x14ac:dyDescent="0.3">
      <c r="A222" s="262"/>
      <c r="B222" s="264" t="s">
        <v>86</v>
      </c>
      <c r="C222" s="354"/>
      <c r="D222" s="354"/>
      <c r="E222" s="354"/>
      <c r="F222" s="354"/>
      <c r="G222" s="354"/>
      <c r="H222" s="354"/>
      <c r="I222" s="354"/>
      <c r="J222" s="264">
        <f t="shared" si="1"/>
        <v>43</v>
      </c>
      <c r="K222" s="355">
        <f t="shared" si="2"/>
        <v>2.0663142719846227E-2</v>
      </c>
      <c r="L222" s="265">
        <f t="shared" si="3"/>
        <v>2906</v>
      </c>
      <c r="M222" s="355">
        <f t="shared" si="4"/>
        <v>3.446558185872195E-2</v>
      </c>
      <c r="N222" s="332"/>
      <c r="O222" s="356"/>
      <c r="P222" s="5"/>
      <c r="Q222" s="104"/>
    </row>
    <row r="223" spans="1:17" ht="15.6" x14ac:dyDescent="0.3">
      <c r="A223" s="262"/>
      <c r="B223" s="264" t="s">
        <v>87</v>
      </c>
      <c r="C223" s="354"/>
      <c r="D223" s="354"/>
      <c r="E223" s="354"/>
      <c r="F223" s="354"/>
      <c r="G223" s="354"/>
      <c r="H223" s="354"/>
      <c r="I223" s="354"/>
      <c r="J223" s="264">
        <f t="shared" si="1"/>
        <v>22</v>
      </c>
      <c r="K223" s="355">
        <f t="shared" si="2"/>
        <v>1.0571840461316675E-2</v>
      </c>
      <c r="L223" s="265">
        <f t="shared" si="3"/>
        <v>1043</v>
      </c>
      <c r="M223" s="355">
        <f t="shared" si="4"/>
        <v>1.2370131410408464E-2</v>
      </c>
      <c r="N223" s="332"/>
      <c r="O223" s="356"/>
      <c r="P223" s="5"/>
    </row>
    <row r="224" spans="1:17" ht="15.6" x14ac:dyDescent="0.3">
      <c r="A224" s="262"/>
      <c r="B224" s="264" t="s">
        <v>145</v>
      </c>
      <c r="C224" s="354"/>
      <c r="D224" s="354"/>
      <c r="E224" s="354"/>
      <c r="F224" s="354"/>
      <c r="G224" s="354"/>
      <c r="H224" s="354"/>
      <c r="I224" s="354"/>
      <c r="J224" s="264">
        <f t="shared" si="1"/>
        <v>15</v>
      </c>
      <c r="K224" s="355">
        <f t="shared" si="2"/>
        <v>7.2080730418068234E-3</v>
      </c>
      <c r="L224" s="265">
        <f t="shared" si="3"/>
        <v>769</v>
      </c>
      <c r="M224" s="355">
        <f t="shared" si="4"/>
        <v>9.120451634328005E-3</v>
      </c>
      <c r="N224" s="332"/>
      <c r="O224" s="356"/>
      <c r="P224" s="5"/>
      <c r="Q224" s="104"/>
    </row>
    <row r="225" spans="1:17" ht="15.6" x14ac:dyDescent="0.3">
      <c r="A225" s="262"/>
      <c r="B225" s="264" t="s">
        <v>146</v>
      </c>
      <c r="C225" s="354"/>
      <c r="D225" s="354"/>
      <c r="E225" s="354"/>
      <c r="F225" s="354"/>
      <c r="G225" s="354"/>
      <c r="H225" s="354"/>
      <c r="I225" s="354"/>
      <c r="J225" s="264">
        <f t="shared" si="1"/>
        <v>9</v>
      </c>
      <c r="K225" s="355">
        <f t="shared" si="2"/>
        <v>4.324843825084094E-3</v>
      </c>
      <c r="L225" s="265">
        <f t="shared" si="3"/>
        <v>440</v>
      </c>
      <c r="M225" s="355">
        <f t="shared" si="4"/>
        <v>5.2184638739978181E-3</v>
      </c>
      <c r="N225" s="332"/>
      <c r="O225" s="356"/>
      <c r="P225" s="5"/>
    </row>
    <row r="226" spans="1:17" ht="15.6" x14ac:dyDescent="0.3">
      <c r="A226" s="262"/>
      <c r="B226" s="264" t="s">
        <v>147</v>
      </c>
      <c r="C226" s="354"/>
      <c r="D226" s="354"/>
      <c r="E226" s="354"/>
      <c r="F226" s="354"/>
      <c r="G226" s="354"/>
      <c r="H226" s="354"/>
      <c r="I226" s="354"/>
      <c r="J226" s="264">
        <f t="shared" si="1"/>
        <v>8</v>
      </c>
      <c r="K226" s="355">
        <f t="shared" si="2"/>
        <v>3.8443056222969728E-3</v>
      </c>
      <c r="L226" s="265">
        <f t="shared" si="3"/>
        <v>406</v>
      </c>
      <c r="M226" s="355">
        <f t="shared" si="4"/>
        <v>4.8152189382798041E-3</v>
      </c>
      <c r="N226" s="332"/>
      <c r="O226" s="356"/>
      <c r="P226" s="5"/>
      <c r="Q226" s="104"/>
    </row>
    <row r="227" spans="1:17" ht="15.6" x14ac:dyDescent="0.3">
      <c r="A227" s="262"/>
      <c r="B227" s="264" t="s">
        <v>227</v>
      </c>
      <c r="C227" s="354"/>
      <c r="D227" s="354"/>
      <c r="E227" s="354"/>
      <c r="F227" s="354"/>
      <c r="G227" s="354"/>
      <c r="H227" s="354"/>
      <c r="I227" s="354"/>
      <c r="J227" s="264">
        <f t="shared" si="1"/>
        <v>15</v>
      </c>
      <c r="K227" s="355">
        <f t="shared" si="2"/>
        <v>7.2080730418068234E-3</v>
      </c>
      <c r="L227" s="265">
        <f t="shared" si="3"/>
        <v>818</v>
      </c>
      <c r="M227" s="355">
        <f t="shared" si="4"/>
        <v>9.7015987475686707E-3</v>
      </c>
      <c r="N227" s="332"/>
      <c r="O227" s="356"/>
      <c r="P227" s="5"/>
    </row>
    <row r="228" spans="1:17" ht="15.6" x14ac:dyDescent="0.3">
      <c r="A228" s="262"/>
      <c r="B228" s="264" t="s">
        <v>228</v>
      </c>
      <c r="C228" s="354"/>
      <c r="D228" s="354"/>
      <c r="E228" s="354"/>
      <c r="F228" s="354"/>
      <c r="G228" s="354"/>
      <c r="H228" s="354"/>
      <c r="I228" s="354"/>
      <c r="J228" s="264">
        <f t="shared" si="1"/>
        <v>9</v>
      </c>
      <c r="K228" s="355">
        <f t="shared" si="2"/>
        <v>4.324843825084094E-3</v>
      </c>
      <c r="L228" s="265">
        <f t="shared" si="3"/>
        <v>1352</v>
      </c>
      <c r="M228" s="355">
        <f t="shared" si="4"/>
        <v>1.6034916267375111E-2</v>
      </c>
      <c r="N228" s="332"/>
      <c r="O228" s="356"/>
      <c r="P228" s="5"/>
      <c r="Q228" s="104"/>
    </row>
    <row r="229" spans="1:17" ht="15.6" x14ac:dyDescent="0.3">
      <c r="A229" s="262"/>
      <c r="B229" s="264" t="s">
        <v>229</v>
      </c>
      <c r="C229" s="354"/>
      <c r="D229" s="354"/>
      <c r="E229" s="354"/>
      <c r="F229" s="354"/>
      <c r="G229" s="354"/>
      <c r="H229" s="354"/>
      <c r="I229" s="354"/>
      <c r="J229" s="264">
        <f t="shared" si="1"/>
        <v>2</v>
      </c>
      <c r="K229" s="355">
        <f t="shared" si="2"/>
        <v>9.6107640557424319E-4</v>
      </c>
      <c r="L229" s="265">
        <f t="shared" si="3"/>
        <v>253</v>
      </c>
      <c r="M229" s="355">
        <f t="shared" si="4"/>
        <v>3.000616727548745E-3</v>
      </c>
      <c r="N229" s="332"/>
      <c r="O229" s="356"/>
      <c r="P229" s="5"/>
      <c r="Q229" s="104"/>
    </row>
    <row r="230" spans="1:17" ht="15.6" x14ac:dyDescent="0.3">
      <c r="A230" s="262"/>
      <c r="B230" s="264" t="s">
        <v>230</v>
      </c>
      <c r="C230" s="354"/>
      <c r="D230" s="354"/>
      <c r="E230" s="354"/>
      <c r="F230" s="354"/>
      <c r="G230" s="354"/>
      <c r="H230" s="354"/>
      <c r="I230" s="354"/>
      <c r="J230" s="264">
        <f t="shared" si="1"/>
        <v>2</v>
      </c>
      <c r="K230" s="355">
        <f t="shared" si="2"/>
        <v>9.6107640557424319E-4</v>
      </c>
      <c r="L230" s="265">
        <f t="shared" si="3"/>
        <v>158</v>
      </c>
      <c r="M230" s="355">
        <f t="shared" si="4"/>
        <v>1.8739029365719437E-3</v>
      </c>
      <c r="N230" s="332"/>
      <c r="O230" s="356"/>
      <c r="P230" s="5"/>
      <c r="Q230" s="104"/>
    </row>
    <row r="231" spans="1:17" ht="15.6" x14ac:dyDescent="0.3">
      <c r="A231" s="262"/>
      <c r="B231" s="264" t="s">
        <v>231</v>
      </c>
      <c r="C231" s="354"/>
      <c r="D231" s="354"/>
      <c r="E231" s="354"/>
      <c r="F231" s="354"/>
      <c r="G231" s="354"/>
      <c r="H231" s="354"/>
      <c r="I231" s="354"/>
      <c r="J231" s="264">
        <f t="shared" si="1"/>
        <v>0</v>
      </c>
      <c r="K231" s="355">
        <f t="shared" si="2"/>
        <v>0</v>
      </c>
      <c r="L231" s="265">
        <f t="shared" si="3"/>
        <v>0</v>
      </c>
      <c r="M231" s="355">
        <f t="shared" si="4"/>
        <v>0</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4.8053820278712159E-4</v>
      </c>
      <c r="L232" s="265">
        <f t="shared" si="3"/>
        <v>36</v>
      </c>
      <c r="M232" s="355">
        <f t="shared" si="4"/>
        <v>4.2696522605436692E-4</v>
      </c>
      <c r="N232" s="332"/>
      <c r="O232" s="356"/>
      <c r="P232" s="5"/>
      <c r="Q232" s="104"/>
    </row>
    <row r="233" spans="1:17" ht="15.6" x14ac:dyDescent="0.3">
      <c r="A233" s="262"/>
      <c r="B233" s="264" t="s">
        <v>233</v>
      </c>
      <c r="C233" s="354"/>
      <c r="D233" s="354"/>
      <c r="E233" s="354"/>
      <c r="F233" s="354"/>
      <c r="G233" s="354"/>
      <c r="H233" s="354"/>
      <c r="I233" s="354"/>
      <c r="J233" s="264">
        <f t="shared" si="1"/>
        <v>3</v>
      </c>
      <c r="K233" s="355">
        <f t="shared" si="2"/>
        <v>1.4416146083613647E-3</v>
      </c>
      <c r="L233" s="265">
        <f t="shared" si="3"/>
        <v>185</v>
      </c>
      <c r="M233" s="355">
        <f t="shared" si="4"/>
        <v>2.1941268561127187E-3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2081</v>
      </c>
      <c r="K235" s="355">
        <f>SUM(K221:K234)</f>
        <v>1</v>
      </c>
      <c r="L235" s="265">
        <f>SUM(L221:L234)</f>
        <v>84316</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1952</v>
      </c>
      <c r="K238" s="355">
        <f t="shared" ref="K238:K250" si="5">J238/$J$252</f>
        <v>0.93936477382098171</v>
      </c>
      <c r="L238" s="265">
        <v>75950</v>
      </c>
      <c r="M238" s="355">
        <f t="shared" ref="M238:M250" si="6">L238/$L$252</f>
        <v>0.90232978104097605</v>
      </c>
      <c r="N238" s="332"/>
      <c r="O238" s="356"/>
      <c r="P238" s="5"/>
    </row>
    <row r="239" spans="1:17" ht="15.6" x14ac:dyDescent="0.3">
      <c r="A239" s="262"/>
      <c r="B239" s="264" t="s">
        <v>86</v>
      </c>
      <c r="C239" s="354"/>
      <c r="D239" s="354"/>
      <c r="E239" s="354"/>
      <c r="F239" s="354"/>
      <c r="G239" s="354"/>
      <c r="H239" s="354"/>
      <c r="I239" s="354"/>
      <c r="J239" s="264">
        <v>43</v>
      </c>
      <c r="K239" s="355">
        <f t="shared" si="5"/>
        <v>2.0692974013474495E-2</v>
      </c>
      <c r="L239" s="265">
        <v>2906</v>
      </c>
      <c r="M239" s="355">
        <f t="shared" si="6"/>
        <v>3.4524955150823919E-2</v>
      </c>
      <c r="N239" s="332"/>
      <c r="O239" s="356"/>
      <c r="P239" s="5"/>
      <c r="Q239" s="104"/>
    </row>
    <row r="240" spans="1:17" ht="15.6" x14ac:dyDescent="0.3">
      <c r="A240" s="262"/>
      <c r="B240" s="264" t="s">
        <v>87</v>
      </c>
      <c r="C240" s="354"/>
      <c r="D240" s="354"/>
      <c r="E240" s="354"/>
      <c r="F240" s="354"/>
      <c r="G240" s="354"/>
      <c r="H240" s="354"/>
      <c r="I240" s="354"/>
      <c r="J240" s="264">
        <v>22</v>
      </c>
      <c r="K240" s="355">
        <f t="shared" si="5"/>
        <v>1.0587102983638113E-2</v>
      </c>
      <c r="L240" s="265">
        <v>1043</v>
      </c>
      <c r="M240" s="355">
        <f t="shared" si="6"/>
        <v>1.2391441232728612E-2</v>
      </c>
      <c r="N240" s="332"/>
      <c r="O240" s="356"/>
      <c r="P240" s="5"/>
    </row>
    <row r="241" spans="1:17" ht="15.6" x14ac:dyDescent="0.3">
      <c r="A241" s="262"/>
      <c r="B241" s="264" t="s">
        <v>145</v>
      </c>
      <c r="C241" s="354"/>
      <c r="D241" s="354"/>
      <c r="E241" s="354"/>
      <c r="F241" s="354"/>
      <c r="G241" s="354"/>
      <c r="H241" s="354"/>
      <c r="I241" s="354"/>
      <c r="J241" s="264">
        <v>15</v>
      </c>
      <c r="K241" s="355">
        <f t="shared" si="5"/>
        <v>7.2184793070259861E-3</v>
      </c>
      <c r="L241" s="265">
        <v>769</v>
      </c>
      <c r="M241" s="355">
        <f t="shared" si="6"/>
        <v>9.1361632866426672E-3</v>
      </c>
      <c r="N241" s="332"/>
      <c r="O241" s="356"/>
      <c r="P241" s="5"/>
      <c r="Q241" s="104"/>
    </row>
    <row r="242" spans="1:17" ht="15.6" x14ac:dyDescent="0.3">
      <c r="A242" s="262"/>
      <c r="B242" s="264" t="s">
        <v>146</v>
      </c>
      <c r="C242" s="354"/>
      <c r="D242" s="354"/>
      <c r="E242" s="354"/>
      <c r="F242" s="354"/>
      <c r="G242" s="354"/>
      <c r="H242" s="354"/>
      <c r="I242" s="354"/>
      <c r="J242" s="264">
        <v>9</v>
      </c>
      <c r="K242" s="355">
        <f t="shared" si="5"/>
        <v>4.3310875842155917E-3</v>
      </c>
      <c r="L242" s="265">
        <v>440</v>
      </c>
      <c r="M242" s="355">
        <f t="shared" si="6"/>
        <v>5.2274536360504215E-3</v>
      </c>
      <c r="N242" s="332"/>
      <c r="O242" s="356"/>
      <c r="P242" s="5"/>
    </row>
    <row r="243" spans="1:17" ht="15.6" x14ac:dyDescent="0.3">
      <c r="A243" s="262"/>
      <c r="B243" s="264" t="s">
        <v>147</v>
      </c>
      <c r="C243" s="354"/>
      <c r="D243" s="354"/>
      <c r="E243" s="354"/>
      <c r="F243" s="354"/>
      <c r="G243" s="354"/>
      <c r="H243" s="354"/>
      <c r="I243" s="354"/>
      <c r="J243" s="264">
        <v>8</v>
      </c>
      <c r="K243" s="355">
        <f t="shared" si="5"/>
        <v>3.8498556304138597E-3</v>
      </c>
      <c r="L243" s="265">
        <v>406</v>
      </c>
      <c r="M243" s="355">
        <f t="shared" si="6"/>
        <v>4.8235140369010708E-3</v>
      </c>
      <c r="N243" s="332"/>
      <c r="O243" s="356"/>
      <c r="P243" s="5"/>
      <c r="Q243" s="104"/>
    </row>
    <row r="244" spans="1:17" ht="15.6" x14ac:dyDescent="0.3">
      <c r="A244" s="262"/>
      <c r="B244" s="264" t="s">
        <v>227</v>
      </c>
      <c r="C244" s="354"/>
      <c r="D244" s="354"/>
      <c r="E244" s="354"/>
      <c r="F244" s="354"/>
      <c r="G244" s="354"/>
      <c r="H244" s="354"/>
      <c r="I244" s="354"/>
      <c r="J244" s="264">
        <v>15</v>
      </c>
      <c r="K244" s="355">
        <f t="shared" si="5"/>
        <v>7.2184793070259861E-3</v>
      </c>
      <c r="L244" s="265">
        <v>818</v>
      </c>
      <c r="M244" s="355">
        <f t="shared" si="6"/>
        <v>9.7183115324755553E-3</v>
      </c>
      <c r="N244" s="332"/>
      <c r="O244" s="356"/>
      <c r="P244" s="5"/>
    </row>
    <row r="245" spans="1:17" ht="15.6" x14ac:dyDescent="0.3">
      <c r="A245" s="262"/>
      <c r="B245" s="264" t="s">
        <v>228</v>
      </c>
      <c r="C245" s="354"/>
      <c r="D245" s="354"/>
      <c r="E245" s="354"/>
      <c r="F245" s="354"/>
      <c r="G245" s="354"/>
      <c r="H245" s="354"/>
      <c r="I245" s="354"/>
      <c r="J245" s="264">
        <v>7</v>
      </c>
      <c r="K245" s="355">
        <f t="shared" si="5"/>
        <v>3.3686236766121268E-3</v>
      </c>
      <c r="L245" s="265">
        <v>1243</v>
      </c>
      <c r="M245" s="355">
        <f t="shared" si="6"/>
        <v>1.476755652184244E-2</v>
      </c>
      <c r="N245" s="332"/>
      <c r="O245" s="356"/>
      <c r="P245" s="5"/>
      <c r="Q245" s="104"/>
    </row>
    <row r="246" spans="1:17" ht="15.6" x14ac:dyDescent="0.3">
      <c r="A246" s="262"/>
      <c r="B246" s="264" t="s">
        <v>229</v>
      </c>
      <c r="C246" s="354"/>
      <c r="D246" s="354"/>
      <c r="E246" s="354"/>
      <c r="F246" s="354"/>
      <c r="G246" s="354"/>
      <c r="H246" s="354"/>
      <c r="I246" s="354"/>
      <c r="J246" s="264">
        <v>2</v>
      </c>
      <c r="K246" s="355">
        <f t="shared" si="5"/>
        <v>9.6246390760346492E-4</v>
      </c>
      <c r="L246" s="265">
        <v>253</v>
      </c>
      <c r="M246" s="355">
        <f t="shared" si="6"/>
        <v>3.005785840728992E-3</v>
      </c>
      <c r="N246" s="332"/>
      <c r="O246" s="356"/>
      <c r="P246" s="5"/>
      <c r="Q246" s="104"/>
    </row>
    <row r="247" spans="1:17" ht="15.6" x14ac:dyDescent="0.3">
      <c r="A247" s="262"/>
      <c r="B247" s="264" t="s">
        <v>230</v>
      </c>
      <c r="C247" s="354"/>
      <c r="D247" s="354"/>
      <c r="E247" s="354"/>
      <c r="F247" s="354"/>
      <c r="G247" s="354"/>
      <c r="H247" s="354"/>
      <c r="I247" s="354"/>
      <c r="J247" s="264">
        <v>2</v>
      </c>
      <c r="K247" s="355">
        <f t="shared" si="5"/>
        <v>9.6246390760346492E-4</v>
      </c>
      <c r="L247" s="265">
        <v>158</v>
      </c>
      <c r="M247" s="355">
        <f t="shared" si="6"/>
        <v>1.8771310783999239E-3</v>
      </c>
      <c r="N247" s="332"/>
      <c r="O247" s="356"/>
      <c r="P247" s="5"/>
      <c r="Q247" s="104"/>
    </row>
    <row r="248" spans="1:17" ht="15.6" x14ac:dyDescent="0.3">
      <c r="A248" s="262"/>
      <c r="B248" s="264" t="s">
        <v>231</v>
      </c>
      <c r="C248" s="354"/>
      <c r="D248" s="354"/>
      <c r="E248" s="354"/>
      <c r="F248" s="354"/>
      <c r="G248" s="354"/>
      <c r="H248" s="354"/>
      <c r="I248" s="354"/>
      <c r="J248" s="264">
        <v>0</v>
      </c>
      <c r="K248" s="355">
        <f t="shared" si="5"/>
        <v>0</v>
      </c>
      <c r="L248" s="265">
        <v>0</v>
      </c>
      <c r="M248" s="355">
        <f t="shared" si="6"/>
        <v>0</v>
      </c>
      <c r="N248" s="332"/>
      <c r="O248" s="356"/>
      <c r="P248" s="5"/>
      <c r="Q248" s="104"/>
    </row>
    <row r="249" spans="1:17" ht="15.6" x14ac:dyDescent="0.3">
      <c r="A249" s="262"/>
      <c r="B249" s="264" t="s">
        <v>232</v>
      </c>
      <c r="C249" s="354"/>
      <c r="D249" s="354"/>
      <c r="E249" s="354"/>
      <c r="F249" s="354"/>
      <c r="G249" s="354"/>
      <c r="H249" s="354"/>
      <c r="I249" s="354"/>
      <c r="J249" s="264">
        <v>0</v>
      </c>
      <c r="K249" s="355">
        <f t="shared" si="5"/>
        <v>0</v>
      </c>
      <c r="L249" s="265">
        <v>0</v>
      </c>
      <c r="M249" s="355">
        <f t="shared" si="6"/>
        <v>0</v>
      </c>
      <c r="N249" s="332"/>
      <c r="O249" s="356"/>
      <c r="P249" s="5"/>
      <c r="Q249" s="104"/>
    </row>
    <row r="250" spans="1:17" ht="15.6" x14ac:dyDescent="0.3">
      <c r="A250" s="262"/>
      <c r="B250" s="264" t="s">
        <v>233</v>
      </c>
      <c r="C250" s="354"/>
      <c r="D250" s="354"/>
      <c r="E250" s="354"/>
      <c r="F250" s="354"/>
      <c r="G250" s="354"/>
      <c r="H250" s="354"/>
      <c r="I250" s="354"/>
      <c r="J250" s="264">
        <v>3</v>
      </c>
      <c r="K250" s="355">
        <f t="shared" si="5"/>
        <v>1.4436958614051972E-3</v>
      </c>
      <c r="L250" s="265">
        <v>185</v>
      </c>
      <c r="M250" s="355">
        <f t="shared" si="6"/>
        <v>2.1979066424302907E-3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2078</v>
      </c>
      <c r="K252" s="355">
        <f>SUM(K238:K251)</f>
        <v>1</v>
      </c>
      <c r="L252" s="265">
        <f>SUM(L238:L251)</f>
        <v>84171</v>
      </c>
      <c r="M252" s="355">
        <f>SUM(M238:M251)</f>
        <v>0.99999999999999989</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2</v>
      </c>
      <c r="K279" s="355">
        <f t="shared" si="7"/>
        <v>0.66666666666666663</v>
      </c>
      <c r="L279" s="265">
        <v>109</v>
      </c>
      <c r="M279" s="355">
        <f t="shared" si="8"/>
        <v>0.75172413793103443</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1</v>
      </c>
      <c r="K283" s="355">
        <f t="shared" si="7"/>
        <v>0.33333333333333331</v>
      </c>
      <c r="L283" s="265">
        <v>36</v>
      </c>
      <c r="M283" s="355">
        <f t="shared" si="8"/>
        <v>0.24827586206896551</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3</v>
      </c>
      <c r="K286" s="355">
        <f>SUM(K272:K284)</f>
        <v>1</v>
      </c>
      <c r="L286" s="265">
        <f>SUM(L272:L284)</f>
        <v>145</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2081</v>
      </c>
      <c r="K288" s="355"/>
      <c r="L288" s="359">
        <f>+L286+L269+L252</f>
        <v>84316</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89</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239</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90</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FEBRUARY 2012</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sheetPr>
  <dimension ref="A1:IV299"/>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6.1600000000000002E-2</v>
      </c>
      <c r="L16" s="232" t="s">
        <v>133</v>
      </c>
      <c r="M16" s="231">
        <v>0.93840000000000001</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41082</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79256.864499999996</v>
      </c>
      <c r="E29" s="279"/>
      <c r="F29" s="279">
        <f>F28*F32</f>
        <v>2529.4072500000002</v>
      </c>
      <c r="G29" s="279"/>
      <c r="H29" s="279">
        <f>H28*H32</f>
        <v>2529.4072500000002</v>
      </c>
      <c r="I29" s="279"/>
      <c r="J29" s="284"/>
      <c r="K29" s="279"/>
      <c r="L29" s="279"/>
      <c r="M29" s="280"/>
      <c r="N29" s="279">
        <f>SUM(D29:H29)+1</f>
        <v>84316.679000000004</v>
      </c>
      <c r="O29" s="281"/>
      <c r="P29" s="5"/>
    </row>
    <row r="30" spans="1:16" ht="15.6" x14ac:dyDescent="0.3">
      <c r="A30" s="274"/>
      <c r="B30" s="275" t="s">
        <v>130</v>
      </c>
      <c r="C30" s="278"/>
      <c r="D30" s="285">
        <f>D28*D31</f>
        <v>74960.438000000009</v>
      </c>
      <c r="E30" s="285"/>
      <c r="F30" s="285">
        <f>F28*F31</f>
        <v>2392.2864</v>
      </c>
      <c r="G30" s="285"/>
      <c r="H30" s="285">
        <f>H28*H31</f>
        <v>2392.2864</v>
      </c>
      <c r="I30" s="285"/>
      <c r="J30" s="288"/>
      <c r="K30" s="279"/>
      <c r="L30" s="279"/>
      <c r="M30" s="280"/>
      <c r="N30" s="285">
        <f>SUM(D30:I30)+1</f>
        <v>79746.010800000004</v>
      </c>
      <c r="O30" s="281"/>
      <c r="P30" s="5"/>
    </row>
    <row r="31" spans="1:16" ht="15.6" x14ac:dyDescent="0.3">
      <c r="A31" s="262"/>
      <c r="B31" s="290" t="s">
        <v>126</v>
      </c>
      <c r="C31" s="291"/>
      <c r="D31" s="292">
        <v>0.28775600000000001</v>
      </c>
      <c r="E31" s="292"/>
      <c r="F31" s="292">
        <v>0.59068799999999999</v>
      </c>
      <c r="G31" s="292"/>
      <c r="H31" s="292">
        <v>0.59068799999999999</v>
      </c>
      <c r="I31" s="293"/>
      <c r="J31" s="293"/>
      <c r="K31" s="294"/>
      <c r="L31" s="294"/>
      <c r="M31" s="269"/>
      <c r="N31" s="269"/>
      <c r="O31" s="270"/>
      <c r="P31" s="5"/>
    </row>
    <row r="32" spans="1:16" ht="15.6" x14ac:dyDescent="0.3">
      <c r="A32" s="262"/>
      <c r="B32" s="290" t="s">
        <v>127</v>
      </c>
      <c r="C32" s="291"/>
      <c r="D32" s="292">
        <v>0.30424899999999999</v>
      </c>
      <c r="E32" s="292"/>
      <c r="F32" s="292">
        <v>0.62454500000000002</v>
      </c>
      <c r="G32" s="292"/>
      <c r="H32" s="292">
        <v>0.62454500000000002</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1.27869E-2</v>
      </c>
      <c r="E34" s="297"/>
      <c r="F34" s="298">
        <v>1.39869E-2</v>
      </c>
      <c r="G34" s="297"/>
      <c r="H34" s="298">
        <v>1.5986899999999998E-2</v>
      </c>
      <c r="I34" s="297"/>
      <c r="J34" s="298"/>
      <c r="K34" s="297"/>
      <c r="L34" s="298"/>
      <c r="M34" s="268"/>
      <c r="N34" s="297">
        <f>SUMPRODUCT(D34:H34,D29:H29)/N29</f>
        <v>1.2918743487336589E-2</v>
      </c>
      <c r="O34" s="266"/>
      <c r="P34" s="5"/>
    </row>
    <row r="35" spans="1:17" ht="15.6" x14ac:dyDescent="0.3">
      <c r="A35" s="274"/>
      <c r="B35" s="263" t="s">
        <v>11</v>
      </c>
      <c r="C35" s="263"/>
      <c r="D35" s="298">
        <v>1.18131E-2</v>
      </c>
      <c r="E35" s="297"/>
      <c r="F35" s="298">
        <v>1.24131E-2</v>
      </c>
      <c r="G35" s="297"/>
      <c r="H35" s="298">
        <v>1.3413100000000001E-2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6.3827972830148072E-2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41075</v>
      </c>
      <c r="O45" s="266"/>
      <c r="P45" s="5"/>
    </row>
    <row r="46" spans="1:17" ht="15.6" x14ac:dyDescent="0.3">
      <c r="A46" s="274"/>
      <c r="B46" s="263" t="s">
        <v>119</v>
      </c>
      <c r="C46" s="263"/>
      <c r="D46" s="305"/>
      <c r="E46" s="305"/>
      <c r="F46" s="305"/>
      <c r="G46" s="305"/>
      <c r="H46" s="305"/>
      <c r="I46" s="305"/>
      <c r="J46" s="263">
        <f>+N46-L46+1</f>
        <v>91</v>
      </c>
      <c r="K46" s="305"/>
      <c r="L46" s="306">
        <v>40892</v>
      </c>
      <c r="M46" s="307"/>
      <c r="N46" s="306">
        <v>40982</v>
      </c>
      <c r="O46" s="266"/>
      <c r="P46" s="5"/>
    </row>
    <row r="47" spans="1:17" ht="15.6" x14ac:dyDescent="0.3">
      <c r="A47" s="274"/>
      <c r="B47" s="263" t="s">
        <v>120</v>
      </c>
      <c r="C47" s="263"/>
      <c r="D47" s="263"/>
      <c r="E47" s="263"/>
      <c r="F47" s="263"/>
      <c r="G47" s="263"/>
      <c r="H47" s="263"/>
      <c r="I47" s="263"/>
      <c r="J47" s="263">
        <f>+N47-L47+1</f>
        <v>92</v>
      </c>
      <c r="K47" s="263"/>
      <c r="L47" s="306">
        <v>40983</v>
      </c>
      <c r="M47" s="307"/>
      <c r="N47" s="306">
        <v>41074</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41061</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266</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84316</v>
      </c>
      <c r="G56" s="264"/>
      <c r="H56" s="264">
        <f>4571+673+237</f>
        <v>5481</v>
      </c>
      <c r="I56" s="264"/>
      <c r="J56" s="264">
        <f>673+237+1</f>
        <v>911</v>
      </c>
      <c r="K56" s="264"/>
      <c r="L56" s="264">
        <v>0</v>
      </c>
      <c r="M56" s="264"/>
      <c r="N56" s="265">
        <f>+F56-H56+J56-L56</f>
        <v>79746</v>
      </c>
      <c r="O56" s="266"/>
      <c r="P56" s="5"/>
    </row>
    <row r="57" spans="1:16" ht="15.6" x14ac:dyDescent="0.3">
      <c r="A57" s="262"/>
      <c r="B57" s="263" t="s">
        <v>209</v>
      </c>
      <c r="C57" s="264"/>
      <c r="D57" s="264">
        <v>756</v>
      </c>
      <c r="E57" s="264"/>
      <c r="F57" s="265">
        <v>422</v>
      </c>
      <c r="G57" s="264"/>
      <c r="H57" s="264">
        <v>13</v>
      </c>
      <c r="I57" s="264"/>
      <c r="J57" s="264">
        <v>0</v>
      </c>
      <c r="K57" s="264"/>
      <c r="L57" s="264">
        <v>0</v>
      </c>
      <c r="M57" s="264"/>
      <c r="N57" s="265">
        <f>+F57-H57</f>
        <v>409</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84738</v>
      </c>
      <c r="G59" s="264"/>
      <c r="H59" s="264">
        <f>SUM(H56:H58)</f>
        <v>5494</v>
      </c>
      <c r="I59" s="264"/>
      <c r="J59" s="264">
        <f>SUM(J56:J58)</f>
        <v>911</v>
      </c>
      <c r="K59" s="264"/>
      <c r="L59" s="264">
        <f>SUM(L56:L58)</f>
        <v>0</v>
      </c>
      <c r="M59" s="264"/>
      <c r="N59" s="264">
        <f>SUM(N56:N58)</f>
        <v>80155</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-452</v>
      </c>
      <c r="G68" s="264"/>
      <c r="H68" s="264"/>
      <c r="I68" s="264"/>
      <c r="J68" s="264"/>
      <c r="K68" s="264"/>
      <c r="L68" s="264"/>
      <c r="M68" s="264"/>
      <c r="N68" s="265">
        <f>-N57</f>
        <v>-409</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84286</v>
      </c>
      <c r="G72" s="264"/>
      <c r="H72" s="264"/>
      <c r="I72" s="264"/>
      <c r="J72" s="264"/>
      <c r="K72" s="264"/>
      <c r="L72" s="264"/>
      <c r="M72" s="264"/>
      <c r="N72" s="264">
        <f>SUM(N59:N71)</f>
        <v>79746</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41060</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v>5481</v>
      </c>
      <c r="M77" s="263"/>
      <c r="N77" s="265"/>
      <c r="O77" s="266"/>
      <c r="P77" s="5"/>
    </row>
    <row r="78" spans="1:16" ht="15.6" x14ac:dyDescent="0.3">
      <c r="A78" s="262"/>
      <c r="B78" s="263" t="s">
        <v>176</v>
      </c>
      <c r="C78" s="263"/>
      <c r="D78" s="300"/>
      <c r="E78" s="263"/>
      <c r="F78" s="309"/>
      <c r="G78" s="263"/>
      <c r="H78" s="263"/>
      <c r="I78" s="263"/>
      <c r="J78" s="263"/>
      <c r="K78" s="263"/>
      <c r="L78" s="264"/>
      <c r="M78" s="263"/>
      <c r="N78" s="265">
        <f>2384+144+1444-2457-76-975</f>
        <v>464</v>
      </c>
      <c r="O78" s="266"/>
      <c r="P78" s="5"/>
    </row>
    <row r="79" spans="1:16" ht="15.6" x14ac:dyDescent="0.3">
      <c r="A79" s="262"/>
      <c r="B79" s="263" t="s">
        <v>174</v>
      </c>
      <c r="C79" s="263"/>
      <c r="D79" s="300"/>
      <c r="E79" s="263"/>
      <c r="F79" s="309"/>
      <c r="G79" s="263"/>
      <c r="H79" s="263"/>
      <c r="I79" s="263"/>
      <c r="J79" s="263"/>
      <c r="K79" s="263"/>
      <c r="L79" s="264"/>
      <c r="M79" s="263"/>
      <c r="N79" s="265">
        <f>65+8+10</f>
        <v>83</v>
      </c>
      <c r="O79" s="266"/>
      <c r="P79" s="5"/>
    </row>
    <row r="80" spans="1:16" ht="15.6" x14ac:dyDescent="0.3">
      <c r="A80" s="262"/>
      <c r="B80" s="263" t="s">
        <v>175</v>
      </c>
      <c r="C80" s="263"/>
      <c r="D80" s="300"/>
      <c r="E80" s="263"/>
      <c r="F80" s="309"/>
      <c r="G80" s="263"/>
      <c r="H80" s="263"/>
      <c r="I80" s="263"/>
      <c r="J80" s="263"/>
      <c r="K80" s="263"/>
      <c r="L80" s="264"/>
      <c r="M80" s="263"/>
      <c r="N80" s="265">
        <v>5</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5481</v>
      </c>
      <c r="M83" s="263"/>
      <c r="N83" s="264">
        <f>SUM(N76:N82)</f>
        <v>552</v>
      </c>
      <c r="O83" s="266"/>
      <c r="P83" s="5"/>
    </row>
    <row r="84" spans="1:17" ht="15.6" x14ac:dyDescent="0.3">
      <c r="A84" s="262"/>
      <c r="B84" s="263" t="s">
        <v>148</v>
      </c>
      <c r="C84" s="263"/>
      <c r="D84" s="263"/>
      <c r="E84" s="263"/>
      <c r="F84" s="263"/>
      <c r="G84" s="263"/>
      <c r="H84" s="263"/>
      <c r="I84" s="263"/>
      <c r="J84" s="263"/>
      <c r="K84" s="263"/>
      <c r="L84" s="264">
        <v>-673</v>
      </c>
      <c r="M84" s="263"/>
      <c r="N84" s="264">
        <f>-L84</f>
        <v>673</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4808</v>
      </c>
      <c r="M87" s="263"/>
      <c r="N87" s="264">
        <f>N83+N85+N84+N86</f>
        <v>1225</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-32-1-88</f>
        <v>-121</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-255</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-9</v>
      </c>
      <c r="O95" s="266"/>
      <c r="P95" s="5"/>
      <c r="Q95" s="104"/>
    </row>
    <row r="96" spans="1:17" ht="15.6" x14ac:dyDescent="0.3">
      <c r="A96" s="274" t="s">
        <v>170</v>
      </c>
      <c r="B96" s="263" t="s">
        <v>216</v>
      </c>
      <c r="C96" s="263"/>
      <c r="D96" s="263"/>
      <c r="E96" s="263"/>
      <c r="F96" s="263"/>
      <c r="G96" s="263"/>
      <c r="H96" s="263"/>
      <c r="I96" s="263"/>
      <c r="J96" s="263"/>
      <c r="K96" s="263"/>
      <c r="L96" s="263"/>
      <c r="M96" s="263"/>
      <c r="N96" s="265">
        <v>-10</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0</v>
      </c>
      <c r="M98" s="263"/>
      <c r="N98" s="265">
        <v>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-32</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-788</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-237</v>
      </c>
      <c r="M107" s="264"/>
      <c r="N107" s="265"/>
      <c r="O107" s="266"/>
      <c r="P107" s="5"/>
    </row>
    <row r="108" spans="1:16" ht="15.6" x14ac:dyDescent="0.3">
      <c r="A108" s="274"/>
      <c r="B108" s="263" t="s">
        <v>200</v>
      </c>
      <c r="C108" s="263"/>
      <c r="D108" s="263"/>
      <c r="E108" s="263"/>
      <c r="F108" s="263"/>
      <c r="G108" s="263"/>
      <c r="H108" s="263"/>
      <c r="I108" s="263"/>
      <c r="J108" s="263"/>
      <c r="K108" s="263"/>
      <c r="L108" s="264">
        <v>-4297</v>
      </c>
      <c r="M108" s="264"/>
      <c r="N108" s="265"/>
      <c r="O108" s="266"/>
      <c r="P108" s="5"/>
    </row>
    <row r="109" spans="1:16" ht="15.6" x14ac:dyDescent="0.3">
      <c r="A109" s="274"/>
      <c r="B109" s="263" t="s">
        <v>201</v>
      </c>
      <c r="C109" s="263"/>
      <c r="D109" s="263"/>
      <c r="E109" s="263"/>
      <c r="F109" s="263"/>
      <c r="G109" s="263"/>
      <c r="H109" s="263"/>
      <c r="I109" s="263"/>
      <c r="J109" s="263"/>
      <c r="K109" s="263"/>
      <c r="L109" s="264">
        <v>-137</v>
      </c>
      <c r="M109" s="264"/>
      <c r="N109" s="265"/>
      <c r="O109" s="266"/>
      <c r="P109" s="5"/>
    </row>
    <row r="110" spans="1:16" ht="15.6" x14ac:dyDescent="0.3">
      <c r="A110" s="274"/>
      <c r="B110" s="263" t="s">
        <v>202</v>
      </c>
      <c r="C110" s="263"/>
      <c r="D110" s="263"/>
      <c r="E110" s="263"/>
      <c r="F110" s="263"/>
      <c r="G110" s="263"/>
      <c r="H110" s="263"/>
      <c r="I110" s="263"/>
      <c r="J110" s="263"/>
      <c r="K110" s="263"/>
      <c r="L110" s="264">
        <v>-137</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-4808</v>
      </c>
      <c r="M111" s="264"/>
      <c r="N111" s="264">
        <f>SUM(N88:N109)</f>
        <v>-1225</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MAY 2012</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0</v>
      </c>
      <c r="O144" s="266"/>
      <c r="P144" s="5"/>
    </row>
    <row r="145" spans="1:256" ht="15.6" x14ac:dyDescent="0.3">
      <c r="A145" s="262"/>
      <c r="B145" s="263" t="s">
        <v>51</v>
      </c>
      <c r="C145" s="263"/>
      <c r="D145" s="263"/>
      <c r="E145" s="263"/>
      <c r="F145" s="263"/>
      <c r="G145" s="263"/>
      <c r="H145" s="263"/>
      <c r="I145" s="263"/>
      <c r="J145" s="263"/>
      <c r="K145" s="263"/>
      <c r="L145" s="263"/>
      <c r="M145" s="263"/>
      <c r="N145" s="265">
        <f>+N143+N144</f>
        <v>0</v>
      </c>
      <c r="O145" s="266"/>
      <c r="P145" s="5"/>
    </row>
    <row r="146" spans="1:256" ht="15.6" x14ac:dyDescent="0.3">
      <c r="A146" s="262"/>
      <c r="B146" s="263" t="s">
        <v>264</v>
      </c>
      <c r="C146" s="263"/>
      <c r="D146" s="263"/>
      <c r="E146" s="263"/>
      <c r="F146" s="263"/>
      <c r="G146" s="263"/>
      <c r="H146" s="263"/>
      <c r="I146" s="263"/>
      <c r="J146" s="263"/>
      <c r="K146" s="263"/>
      <c r="L146" s="263"/>
      <c r="M146" s="263"/>
      <c r="N146" s="265">
        <f>N98</f>
        <v>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79746</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79746</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+'Feb 12'!N161</f>
        <v>422</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13</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409</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+'Feb 12'!L168</f>
        <v>16097</v>
      </c>
      <c r="M166" s="263"/>
      <c r="N166" s="265">
        <f>K166+L166</f>
        <v>16097</v>
      </c>
      <c r="O166" s="266"/>
      <c r="P166" s="5"/>
    </row>
    <row r="167" spans="1:256" ht="15.6" x14ac:dyDescent="0.3">
      <c r="A167" s="262"/>
      <c r="B167" s="263" t="s">
        <v>58</v>
      </c>
      <c r="C167" s="263"/>
      <c r="D167" s="263"/>
      <c r="E167" s="263"/>
      <c r="F167" s="263"/>
      <c r="G167" s="263"/>
      <c r="H167" s="263"/>
      <c r="I167" s="263"/>
      <c r="J167" s="263"/>
      <c r="K167" s="264">
        <v>0</v>
      </c>
      <c r="L167" s="264">
        <f>-L107</f>
        <v>237</v>
      </c>
      <c r="M167" s="263"/>
      <c r="N167" s="265">
        <f>K167+L167</f>
        <v>237</v>
      </c>
      <c r="O167" s="266"/>
      <c r="P167" s="5"/>
    </row>
    <row r="168" spans="1:256" ht="15.6" x14ac:dyDescent="0.3">
      <c r="A168" s="262"/>
      <c r="B168" s="263" t="s">
        <v>59</v>
      </c>
      <c r="C168" s="263"/>
      <c r="D168" s="263"/>
      <c r="E168" s="263"/>
      <c r="F168" s="263"/>
      <c r="G168" s="263"/>
      <c r="H168" s="263"/>
      <c r="I168" s="263"/>
      <c r="J168" s="263"/>
      <c r="K168" s="265">
        <f>K166+K167</f>
        <v>0</v>
      </c>
      <c r="L168" s="265">
        <f>L167+L166</f>
        <v>16334</v>
      </c>
      <c r="M168" s="263"/>
      <c r="N168" s="265">
        <f>K168+L168</f>
        <v>16334</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4.3215686274509801</v>
      </c>
      <c r="O173" s="266" t="s">
        <v>115</v>
      </c>
      <c r="P173" s="5"/>
    </row>
    <row r="174" spans="1:256" ht="15.6" x14ac:dyDescent="0.3">
      <c r="A174" s="262"/>
      <c r="B174" s="263" t="s">
        <v>63</v>
      </c>
      <c r="C174" s="263"/>
      <c r="D174" s="263"/>
      <c r="E174" s="263"/>
      <c r="F174" s="263"/>
      <c r="G174" s="263"/>
      <c r="H174" s="263"/>
      <c r="I174" s="263"/>
      <c r="J174" s="263"/>
      <c r="K174" s="263"/>
      <c r="L174" s="263"/>
      <c r="M174" s="263"/>
      <c r="N174" s="315">
        <v>1.97</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94.111111111111114</v>
      </c>
      <c r="O175" s="266" t="s">
        <v>115</v>
      </c>
      <c r="P175" s="5"/>
    </row>
    <row r="176" spans="1:256" ht="15.6" x14ac:dyDescent="0.3">
      <c r="A176" s="262"/>
      <c r="B176" s="263" t="s">
        <v>65</v>
      </c>
      <c r="C176" s="263"/>
      <c r="D176" s="263"/>
      <c r="E176" s="263"/>
      <c r="F176" s="263"/>
      <c r="G176" s="263"/>
      <c r="H176" s="263"/>
      <c r="I176" s="263"/>
      <c r="J176" s="263"/>
      <c r="K176" s="263"/>
      <c r="L176" s="263"/>
      <c r="M176" s="263"/>
      <c r="N176" s="315">
        <v>43.23</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83.8</v>
      </c>
      <c r="O177" s="266" t="s">
        <v>115</v>
      </c>
      <c r="P177" s="5"/>
    </row>
    <row r="178" spans="1:16" ht="15.6" x14ac:dyDescent="0.3">
      <c r="A178" s="262"/>
      <c r="B178" s="263" t="s">
        <v>167</v>
      </c>
      <c r="C178" s="263"/>
      <c r="D178" s="263"/>
      <c r="E178" s="263"/>
      <c r="F178" s="263"/>
      <c r="G178" s="263"/>
      <c r="H178" s="263"/>
      <c r="I178" s="263"/>
      <c r="J178" s="263"/>
      <c r="K178" s="263"/>
      <c r="L178" s="263"/>
      <c r="M178" s="263"/>
      <c r="N178" s="315">
        <v>40.9</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MAY 2012</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41060</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5.3069999999999999E-2</v>
      </c>
      <c r="M188" s="263"/>
      <c r="N188" s="263"/>
      <c r="O188" s="266"/>
      <c r="P188" s="5"/>
    </row>
    <row r="189" spans="1:16" ht="15.6" x14ac:dyDescent="0.3">
      <c r="A189" s="321"/>
      <c r="B189" s="263" t="s">
        <v>212</v>
      </c>
      <c r="C189" s="322"/>
      <c r="D189" s="303"/>
      <c r="E189" s="303"/>
      <c r="F189" s="303"/>
      <c r="G189" s="303"/>
      <c r="H189" s="303"/>
      <c r="I189" s="303"/>
      <c r="J189" s="303"/>
      <c r="K189" s="303"/>
      <c r="L189" s="297">
        <f>N34</f>
        <v>1.2918743487336589E-2</v>
      </c>
      <c r="M189" s="263"/>
      <c r="N189" s="263"/>
      <c r="O189" s="266"/>
      <c r="P189" s="5"/>
    </row>
    <row r="190" spans="1:16" ht="15.6" x14ac:dyDescent="0.3">
      <c r="A190" s="321"/>
      <c r="B190" s="263" t="s">
        <v>70</v>
      </c>
      <c r="C190" s="322"/>
      <c r="D190" s="303"/>
      <c r="E190" s="303"/>
      <c r="F190" s="303"/>
      <c r="G190" s="303"/>
      <c r="H190" s="303"/>
      <c r="I190" s="303"/>
      <c r="J190" s="303"/>
      <c r="K190" s="303"/>
      <c r="L190" s="297">
        <f>L188-L189</f>
        <v>4.0151256512663408E-2</v>
      </c>
      <c r="M190" s="263"/>
      <c r="N190" s="263"/>
      <c r="O190" s="266"/>
      <c r="P190" s="5"/>
    </row>
    <row r="191" spans="1:16" ht="15.6" x14ac:dyDescent="0.3">
      <c r="A191" s="321"/>
      <c r="B191" s="263" t="s">
        <v>203</v>
      </c>
      <c r="C191" s="322"/>
      <c r="D191" s="303"/>
      <c r="E191" s="303"/>
      <c r="F191" s="303"/>
      <c r="G191" s="303"/>
      <c r="H191" s="303"/>
      <c r="I191" s="303"/>
      <c r="J191" s="303"/>
      <c r="K191" s="303"/>
      <c r="L191" s="297">
        <f>+N87/F59</f>
        <v>1.4456324199296655E-2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5.13</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6.5005455666777359E-2</v>
      </c>
      <c r="M197" s="263"/>
      <c r="N197" s="263"/>
      <c r="O197" s="266"/>
      <c r="P197" s="5"/>
    </row>
    <row r="198" spans="1:16" ht="15.6" x14ac:dyDescent="0.3">
      <c r="A198" s="321"/>
      <c r="B198" s="263" t="s">
        <v>74</v>
      </c>
      <c r="C198" s="322"/>
      <c r="D198" s="303"/>
      <c r="E198" s="303"/>
      <c r="F198" s="303"/>
      <c r="G198" s="303"/>
      <c r="H198" s="303"/>
      <c r="I198" s="303"/>
      <c r="J198" s="303"/>
      <c r="K198" s="303"/>
      <c r="L198" s="297">
        <v>0.25919999999999999</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21</v>
      </c>
      <c r="L201" s="331">
        <v>2200</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4</v>
      </c>
      <c r="L203" s="331">
        <f>+L286</f>
        <v>200</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0</v>
      </c>
      <c r="M207" s="291"/>
      <c r="N207" s="337"/>
      <c r="O207" s="342"/>
      <c r="P207" s="5"/>
    </row>
    <row r="208" spans="1:16" ht="15.6" x14ac:dyDescent="0.3">
      <c r="A208" s="330"/>
      <c r="B208" s="263" t="s">
        <v>82</v>
      </c>
      <c r="C208" s="264"/>
      <c r="D208" s="263"/>
      <c r="E208" s="263"/>
      <c r="F208" s="263"/>
      <c r="G208" s="263"/>
      <c r="H208" s="263"/>
      <c r="I208" s="263"/>
      <c r="J208" s="263"/>
      <c r="K208" s="276"/>
      <c r="L208" s="331">
        <f>'Feb 12'!L208+L207</f>
        <v>37</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1</v>
      </c>
      <c r="L210" s="331">
        <v>20</v>
      </c>
      <c r="M210" s="291"/>
      <c r="N210" s="337"/>
      <c r="O210" s="342"/>
      <c r="P210" s="5"/>
    </row>
    <row r="211" spans="1:17" ht="15.6" x14ac:dyDescent="0.3">
      <c r="A211" s="347"/>
      <c r="B211" s="263" t="s">
        <v>83</v>
      </c>
      <c r="C211" s="300"/>
      <c r="D211" s="263"/>
      <c r="E211" s="263"/>
      <c r="F211" s="263"/>
      <c r="G211" s="263"/>
      <c r="H211" s="263"/>
      <c r="I211" s="263"/>
      <c r="J211" s="263"/>
      <c r="K211" s="263"/>
      <c r="L211" s="339">
        <v>11.81</v>
      </c>
      <c r="M211" s="291"/>
      <c r="N211" s="337"/>
      <c r="O211" s="342"/>
      <c r="P211" s="5"/>
    </row>
    <row r="212" spans="1:17" ht="15.6" x14ac:dyDescent="0.3">
      <c r="A212" s="347"/>
      <c r="B212" s="263" t="s">
        <v>84</v>
      </c>
      <c r="C212" s="300"/>
      <c r="D212" s="263"/>
      <c r="E212" s="263"/>
      <c r="F212" s="263"/>
      <c r="G212" s="263"/>
      <c r="H212" s="263"/>
      <c r="I212" s="263"/>
      <c r="J212" s="263"/>
      <c r="K212" s="263"/>
      <c r="L212" s="339">
        <v>10.09</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1870</v>
      </c>
      <c r="K221" s="355">
        <f t="shared" ref="K221:K233" si="2">J221/$J$235</f>
        <v>0.94444444444444442</v>
      </c>
      <c r="L221" s="265">
        <f t="shared" ref="L221:L233" si="3">+L238+L255+L272</f>
        <v>73042</v>
      </c>
      <c r="M221" s="355">
        <f t="shared" ref="M221:M233" si="4">L221/$L$235</f>
        <v>0.91593308755298075</v>
      </c>
      <c r="N221" s="332"/>
      <c r="O221" s="356"/>
      <c r="P221" s="5"/>
    </row>
    <row r="222" spans="1:17" ht="15.6" x14ac:dyDescent="0.3">
      <c r="A222" s="262"/>
      <c r="B222" s="264" t="s">
        <v>86</v>
      </c>
      <c r="C222" s="354"/>
      <c r="D222" s="354"/>
      <c r="E222" s="354"/>
      <c r="F222" s="354"/>
      <c r="G222" s="354"/>
      <c r="H222" s="354"/>
      <c r="I222" s="354"/>
      <c r="J222" s="264">
        <f t="shared" si="1"/>
        <v>22</v>
      </c>
      <c r="K222" s="355">
        <f t="shared" si="2"/>
        <v>1.1111111111111112E-2</v>
      </c>
      <c r="L222" s="265">
        <f t="shared" si="3"/>
        <v>820</v>
      </c>
      <c r="M222" s="355">
        <f t="shared" si="4"/>
        <v>1.0282647405512503E-2</v>
      </c>
      <c r="N222" s="332"/>
      <c r="O222" s="356"/>
      <c r="P222" s="5"/>
      <c r="Q222" s="104"/>
    </row>
    <row r="223" spans="1:17" ht="15.6" x14ac:dyDescent="0.3">
      <c r="A223" s="262"/>
      <c r="B223" s="264" t="s">
        <v>87</v>
      </c>
      <c r="C223" s="354"/>
      <c r="D223" s="354"/>
      <c r="E223" s="354"/>
      <c r="F223" s="354"/>
      <c r="G223" s="354"/>
      <c r="H223" s="354"/>
      <c r="I223" s="354"/>
      <c r="J223" s="264">
        <f t="shared" si="1"/>
        <v>25</v>
      </c>
      <c r="K223" s="355">
        <f t="shared" si="2"/>
        <v>1.2626262626262626E-2</v>
      </c>
      <c r="L223" s="265">
        <f t="shared" si="3"/>
        <v>1418</v>
      </c>
      <c r="M223" s="355">
        <f t="shared" si="4"/>
        <v>1.7781456123191132E-2</v>
      </c>
      <c r="N223" s="332"/>
      <c r="O223" s="356"/>
      <c r="P223" s="5"/>
    </row>
    <row r="224" spans="1:17" ht="15.6" x14ac:dyDescent="0.3">
      <c r="A224" s="262"/>
      <c r="B224" s="264" t="s">
        <v>145</v>
      </c>
      <c r="C224" s="354"/>
      <c r="D224" s="354"/>
      <c r="E224" s="354"/>
      <c r="F224" s="354"/>
      <c r="G224" s="354"/>
      <c r="H224" s="354"/>
      <c r="I224" s="354"/>
      <c r="J224" s="264">
        <f t="shared" si="1"/>
        <v>16</v>
      </c>
      <c r="K224" s="355">
        <f t="shared" si="2"/>
        <v>8.0808080808080808E-3</v>
      </c>
      <c r="L224" s="265">
        <f t="shared" si="3"/>
        <v>866</v>
      </c>
      <c r="M224" s="355">
        <f t="shared" si="4"/>
        <v>1.0859478845333935E-2</v>
      </c>
      <c r="N224" s="332"/>
      <c r="O224" s="356"/>
      <c r="P224" s="5"/>
      <c r="Q224" s="104"/>
    </row>
    <row r="225" spans="1:17" ht="15.6" x14ac:dyDescent="0.3">
      <c r="A225" s="262"/>
      <c r="B225" s="264" t="s">
        <v>146</v>
      </c>
      <c r="C225" s="354"/>
      <c r="D225" s="354"/>
      <c r="E225" s="354"/>
      <c r="F225" s="354"/>
      <c r="G225" s="354"/>
      <c r="H225" s="354"/>
      <c r="I225" s="354"/>
      <c r="J225" s="264">
        <f t="shared" si="1"/>
        <v>8</v>
      </c>
      <c r="K225" s="355">
        <f t="shared" si="2"/>
        <v>4.0404040404040404E-3</v>
      </c>
      <c r="L225" s="265">
        <f t="shared" si="3"/>
        <v>500</v>
      </c>
      <c r="M225" s="355">
        <f t="shared" si="4"/>
        <v>6.2699069545807942E-3</v>
      </c>
      <c r="N225" s="332"/>
      <c r="O225" s="356"/>
      <c r="P225" s="5"/>
    </row>
    <row r="226" spans="1:17" ht="15.6" x14ac:dyDescent="0.3">
      <c r="A226" s="262"/>
      <c r="B226" s="264" t="s">
        <v>147</v>
      </c>
      <c r="C226" s="354"/>
      <c r="D226" s="354"/>
      <c r="E226" s="354"/>
      <c r="F226" s="354"/>
      <c r="G226" s="354"/>
      <c r="H226" s="354"/>
      <c r="I226" s="354"/>
      <c r="J226" s="264">
        <f t="shared" si="1"/>
        <v>10</v>
      </c>
      <c r="K226" s="355">
        <f t="shared" si="2"/>
        <v>5.0505050505050509E-3</v>
      </c>
      <c r="L226" s="265">
        <f t="shared" si="3"/>
        <v>445</v>
      </c>
      <c r="M226" s="355">
        <f t="shared" si="4"/>
        <v>5.5802171895769064E-3</v>
      </c>
      <c r="N226" s="332"/>
      <c r="O226" s="356"/>
      <c r="P226" s="5"/>
      <c r="Q226" s="104"/>
    </row>
    <row r="227" spans="1:17" ht="15.6" x14ac:dyDescent="0.3">
      <c r="A227" s="262"/>
      <c r="B227" s="264" t="s">
        <v>227</v>
      </c>
      <c r="C227" s="354"/>
      <c r="D227" s="354"/>
      <c r="E227" s="354"/>
      <c r="F227" s="354"/>
      <c r="G227" s="354"/>
      <c r="H227" s="354"/>
      <c r="I227" s="354"/>
      <c r="J227" s="264">
        <f t="shared" si="1"/>
        <v>11</v>
      </c>
      <c r="K227" s="355">
        <f t="shared" si="2"/>
        <v>5.5555555555555558E-3</v>
      </c>
      <c r="L227" s="265">
        <f t="shared" si="3"/>
        <v>570</v>
      </c>
      <c r="M227" s="355">
        <f t="shared" si="4"/>
        <v>7.1476939282221052E-3</v>
      </c>
      <c r="N227" s="332"/>
      <c r="O227" s="356"/>
      <c r="P227" s="5"/>
    </row>
    <row r="228" spans="1:17" ht="15.6" x14ac:dyDescent="0.3">
      <c r="A228" s="262"/>
      <c r="B228" s="264" t="s">
        <v>228</v>
      </c>
      <c r="C228" s="354"/>
      <c r="D228" s="354"/>
      <c r="E228" s="354"/>
      <c r="F228" s="354"/>
      <c r="G228" s="354"/>
      <c r="H228" s="354"/>
      <c r="I228" s="354"/>
      <c r="J228" s="264">
        <f t="shared" si="1"/>
        <v>5</v>
      </c>
      <c r="K228" s="355">
        <f t="shared" si="2"/>
        <v>2.5252525252525255E-3</v>
      </c>
      <c r="L228" s="265">
        <f t="shared" si="3"/>
        <v>327</v>
      </c>
      <c r="M228" s="355">
        <f t="shared" si="4"/>
        <v>4.1005191482958395E-3</v>
      </c>
      <c r="N228" s="332"/>
      <c r="O228" s="356"/>
      <c r="P228" s="5"/>
      <c r="Q228" s="104"/>
    </row>
    <row r="229" spans="1:17" ht="15.6" x14ac:dyDescent="0.3">
      <c r="A229" s="262"/>
      <c r="B229" s="264" t="s">
        <v>229</v>
      </c>
      <c r="C229" s="354"/>
      <c r="D229" s="354"/>
      <c r="E229" s="354"/>
      <c r="F229" s="354"/>
      <c r="G229" s="354"/>
      <c r="H229" s="354"/>
      <c r="I229" s="354"/>
      <c r="J229" s="264">
        <f t="shared" si="1"/>
        <v>7</v>
      </c>
      <c r="K229" s="355">
        <f t="shared" si="2"/>
        <v>3.5353535353535356E-3</v>
      </c>
      <c r="L229" s="265">
        <f t="shared" si="3"/>
        <v>1378</v>
      </c>
      <c r="M229" s="355">
        <f t="shared" si="4"/>
        <v>1.727986356682467E-2</v>
      </c>
      <c r="N229" s="332"/>
      <c r="O229" s="356"/>
      <c r="P229" s="5"/>
      <c r="Q229" s="104"/>
    </row>
    <row r="230" spans="1:17" ht="15.6" x14ac:dyDescent="0.3">
      <c r="A230" s="262"/>
      <c r="B230" s="264" t="s">
        <v>230</v>
      </c>
      <c r="C230" s="354"/>
      <c r="D230" s="354"/>
      <c r="E230" s="354"/>
      <c r="F230" s="354"/>
      <c r="G230" s="354"/>
      <c r="H230" s="354"/>
      <c r="I230" s="354"/>
      <c r="J230" s="264">
        <f t="shared" si="1"/>
        <v>1</v>
      </c>
      <c r="K230" s="355">
        <f t="shared" si="2"/>
        <v>5.0505050505050505E-4</v>
      </c>
      <c r="L230" s="265">
        <f t="shared" si="3"/>
        <v>25</v>
      </c>
      <c r="M230" s="355">
        <f t="shared" si="4"/>
        <v>3.1349534772903969E-4</v>
      </c>
      <c r="N230" s="332"/>
      <c r="O230" s="356"/>
      <c r="P230" s="5"/>
      <c r="Q230" s="104"/>
    </row>
    <row r="231" spans="1:17" ht="15.6" x14ac:dyDescent="0.3">
      <c r="A231" s="262"/>
      <c r="B231" s="264" t="s">
        <v>231</v>
      </c>
      <c r="C231" s="354"/>
      <c r="D231" s="354"/>
      <c r="E231" s="354"/>
      <c r="F231" s="354"/>
      <c r="G231" s="354"/>
      <c r="H231" s="354"/>
      <c r="I231" s="354"/>
      <c r="J231" s="264">
        <f t="shared" si="1"/>
        <v>1</v>
      </c>
      <c r="K231" s="355">
        <f t="shared" si="2"/>
        <v>5.0505050505050505E-4</v>
      </c>
      <c r="L231" s="265">
        <f t="shared" si="3"/>
        <v>134</v>
      </c>
      <c r="M231" s="355">
        <f t="shared" si="4"/>
        <v>1.6803350638276528E-3</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5.0505050505050505E-4</v>
      </c>
      <c r="L232" s="265">
        <f t="shared" si="3"/>
        <v>36</v>
      </c>
      <c r="M232" s="355">
        <f t="shared" si="4"/>
        <v>4.5143330072981719E-4</v>
      </c>
      <c r="N232" s="332"/>
      <c r="O232" s="356"/>
      <c r="P232" s="5"/>
      <c r="Q232" s="104"/>
    </row>
    <row r="233" spans="1:17" ht="15.6" x14ac:dyDescent="0.3">
      <c r="A233" s="262"/>
      <c r="B233" s="264" t="s">
        <v>233</v>
      </c>
      <c r="C233" s="354"/>
      <c r="D233" s="354"/>
      <c r="E233" s="354"/>
      <c r="F233" s="354"/>
      <c r="G233" s="354"/>
      <c r="H233" s="354"/>
      <c r="I233" s="354"/>
      <c r="J233" s="264">
        <f t="shared" si="1"/>
        <v>3</v>
      </c>
      <c r="K233" s="355">
        <f t="shared" si="2"/>
        <v>1.5151515151515152E-3</v>
      </c>
      <c r="L233" s="265">
        <f t="shared" si="3"/>
        <v>185</v>
      </c>
      <c r="M233" s="355">
        <f t="shared" si="4"/>
        <v>2.3198655731948938E-3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1980</v>
      </c>
      <c r="K235" s="355">
        <f>SUM(K221:K234)</f>
        <v>0.99999999999999978</v>
      </c>
      <c r="L235" s="265">
        <f>SUM(L221:L234)</f>
        <v>79746</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1869</v>
      </c>
      <c r="K238" s="355">
        <f t="shared" ref="K238:K250" si="5">J238/$J$252</f>
        <v>0.94585020242914974</v>
      </c>
      <c r="L238" s="265">
        <v>73036</v>
      </c>
      <c r="M238" s="355">
        <f t="shared" ref="M238:M250" si="6">L238/$L$252</f>
        <v>0.91816056118472333</v>
      </c>
      <c r="N238" s="332"/>
      <c r="O238" s="356"/>
      <c r="P238" s="5"/>
    </row>
    <row r="239" spans="1:17" ht="15.6" x14ac:dyDescent="0.3">
      <c r="A239" s="262"/>
      <c r="B239" s="264" t="s">
        <v>86</v>
      </c>
      <c r="C239" s="354"/>
      <c r="D239" s="354"/>
      <c r="E239" s="354"/>
      <c r="F239" s="354"/>
      <c r="G239" s="354"/>
      <c r="H239" s="354"/>
      <c r="I239" s="354"/>
      <c r="J239" s="264">
        <v>22</v>
      </c>
      <c r="K239" s="355">
        <f t="shared" si="5"/>
        <v>1.1133603238866396E-2</v>
      </c>
      <c r="L239" s="265">
        <v>820</v>
      </c>
      <c r="M239" s="355">
        <f t="shared" si="6"/>
        <v>1.0308500741709199E-2</v>
      </c>
      <c r="N239" s="332"/>
      <c r="O239" s="356"/>
      <c r="P239" s="5"/>
      <c r="Q239" s="104"/>
    </row>
    <row r="240" spans="1:17" ht="15.6" x14ac:dyDescent="0.3">
      <c r="A240" s="262"/>
      <c r="B240" s="264" t="s">
        <v>87</v>
      </c>
      <c r="C240" s="354"/>
      <c r="D240" s="354"/>
      <c r="E240" s="354"/>
      <c r="F240" s="354"/>
      <c r="G240" s="354"/>
      <c r="H240" s="354"/>
      <c r="I240" s="354"/>
      <c r="J240" s="264">
        <v>25</v>
      </c>
      <c r="K240" s="355">
        <f t="shared" si="5"/>
        <v>1.2651821862348178E-2</v>
      </c>
      <c r="L240" s="265">
        <v>1418</v>
      </c>
      <c r="M240" s="355">
        <f t="shared" si="6"/>
        <v>1.7826163477736152E-2</v>
      </c>
      <c r="N240" s="332"/>
      <c r="O240" s="356"/>
      <c r="P240" s="5"/>
    </row>
    <row r="241" spans="1:17" ht="15.6" x14ac:dyDescent="0.3">
      <c r="A241" s="262"/>
      <c r="B241" s="264" t="s">
        <v>145</v>
      </c>
      <c r="C241" s="354"/>
      <c r="D241" s="354"/>
      <c r="E241" s="354"/>
      <c r="F241" s="354"/>
      <c r="G241" s="354"/>
      <c r="H241" s="354"/>
      <c r="I241" s="354"/>
      <c r="J241" s="264">
        <v>16</v>
      </c>
      <c r="K241" s="355">
        <f t="shared" si="5"/>
        <v>8.0971659919028341E-3</v>
      </c>
      <c r="L241" s="265">
        <v>866</v>
      </c>
      <c r="M241" s="355">
        <f t="shared" si="6"/>
        <v>1.088678249063435E-2</v>
      </c>
      <c r="N241" s="332"/>
      <c r="O241" s="356"/>
      <c r="P241" s="5"/>
      <c r="Q241" s="104"/>
    </row>
    <row r="242" spans="1:17" ht="15.6" x14ac:dyDescent="0.3">
      <c r="A242" s="262"/>
      <c r="B242" s="264" t="s">
        <v>146</v>
      </c>
      <c r="C242" s="354"/>
      <c r="D242" s="354"/>
      <c r="E242" s="354"/>
      <c r="F242" s="354"/>
      <c r="G242" s="354"/>
      <c r="H242" s="354"/>
      <c r="I242" s="354"/>
      <c r="J242" s="264">
        <v>8</v>
      </c>
      <c r="K242" s="355">
        <f t="shared" si="5"/>
        <v>4.048582995951417E-3</v>
      </c>
      <c r="L242" s="265">
        <v>500</v>
      </c>
      <c r="M242" s="355">
        <f t="shared" si="6"/>
        <v>6.2856711839690245E-3</v>
      </c>
      <c r="N242" s="332"/>
      <c r="O242" s="356"/>
      <c r="P242" s="5"/>
    </row>
    <row r="243" spans="1:17" ht="15.6" x14ac:dyDescent="0.3">
      <c r="A243" s="262"/>
      <c r="B243" s="264" t="s">
        <v>147</v>
      </c>
      <c r="C243" s="354"/>
      <c r="D243" s="354"/>
      <c r="E243" s="354"/>
      <c r="F243" s="354"/>
      <c r="G243" s="354"/>
      <c r="H243" s="354"/>
      <c r="I243" s="354"/>
      <c r="J243" s="264">
        <v>10</v>
      </c>
      <c r="K243" s="355">
        <f t="shared" si="5"/>
        <v>5.0607287449392713E-3</v>
      </c>
      <c r="L243" s="265">
        <v>445</v>
      </c>
      <c r="M243" s="355">
        <f t="shared" si="6"/>
        <v>5.5942473537324315E-3</v>
      </c>
      <c r="N243" s="332"/>
      <c r="O243" s="356"/>
      <c r="P243" s="5"/>
      <c r="Q243" s="104"/>
    </row>
    <row r="244" spans="1:17" ht="15.6" x14ac:dyDescent="0.3">
      <c r="A244" s="262"/>
      <c r="B244" s="264" t="s">
        <v>227</v>
      </c>
      <c r="C244" s="354"/>
      <c r="D244" s="354"/>
      <c r="E244" s="354"/>
      <c r="F244" s="354"/>
      <c r="G244" s="354"/>
      <c r="H244" s="354"/>
      <c r="I244" s="354"/>
      <c r="J244" s="264">
        <v>11</v>
      </c>
      <c r="K244" s="355">
        <f t="shared" si="5"/>
        <v>5.566801619433198E-3</v>
      </c>
      <c r="L244" s="265">
        <v>570</v>
      </c>
      <c r="M244" s="355">
        <f t="shared" si="6"/>
        <v>7.1656651497246874E-3</v>
      </c>
      <c r="N244" s="332"/>
      <c r="O244" s="356"/>
      <c r="P244" s="5"/>
    </row>
    <row r="245" spans="1:17" ht="15.6" x14ac:dyDescent="0.3">
      <c r="A245" s="262"/>
      <c r="B245" s="264" t="s">
        <v>228</v>
      </c>
      <c r="C245" s="354"/>
      <c r="D245" s="354"/>
      <c r="E245" s="354"/>
      <c r="F245" s="354"/>
      <c r="G245" s="354"/>
      <c r="H245" s="354"/>
      <c r="I245" s="354"/>
      <c r="J245" s="264">
        <v>5</v>
      </c>
      <c r="K245" s="355">
        <f t="shared" si="5"/>
        <v>2.5303643724696357E-3</v>
      </c>
      <c r="L245" s="265">
        <v>327</v>
      </c>
      <c r="M245" s="355">
        <f t="shared" si="6"/>
        <v>4.1108289543157414E-3</v>
      </c>
      <c r="N245" s="332"/>
      <c r="O245" s="356"/>
      <c r="P245" s="5"/>
      <c r="Q245" s="104"/>
    </row>
    <row r="246" spans="1:17" ht="15.6" x14ac:dyDescent="0.3">
      <c r="A246" s="262"/>
      <c r="B246" s="264" t="s">
        <v>229</v>
      </c>
      <c r="C246" s="354"/>
      <c r="D246" s="354"/>
      <c r="E246" s="354"/>
      <c r="F246" s="354"/>
      <c r="G246" s="354"/>
      <c r="H246" s="354"/>
      <c r="I246" s="354"/>
      <c r="J246" s="264">
        <v>5</v>
      </c>
      <c r="K246" s="355">
        <f t="shared" si="5"/>
        <v>2.5303643724696357E-3</v>
      </c>
      <c r="L246" s="265">
        <v>1220</v>
      </c>
      <c r="M246" s="355">
        <f t="shared" si="6"/>
        <v>1.533703768888442E-2</v>
      </c>
      <c r="N246" s="332"/>
      <c r="O246" s="356"/>
      <c r="P246" s="5"/>
      <c r="Q246" s="104"/>
    </row>
    <row r="247" spans="1:17" ht="15.6" x14ac:dyDescent="0.3">
      <c r="A247" s="262"/>
      <c r="B247" s="264" t="s">
        <v>230</v>
      </c>
      <c r="C247" s="354"/>
      <c r="D247" s="354"/>
      <c r="E247" s="354"/>
      <c r="F247" s="354"/>
      <c r="G247" s="354"/>
      <c r="H247" s="354"/>
      <c r="I247" s="354"/>
      <c r="J247" s="264">
        <v>1</v>
      </c>
      <c r="K247" s="355">
        <f t="shared" si="5"/>
        <v>5.0607287449392713E-4</v>
      </c>
      <c r="L247" s="265">
        <v>25</v>
      </c>
      <c r="M247" s="355">
        <f t="shared" si="6"/>
        <v>3.1428355919845122E-4</v>
      </c>
      <c r="N247" s="332"/>
      <c r="O247" s="356"/>
      <c r="P247" s="5"/>
      <c r="Q247" s="104"/>
    </row>
    <row r="248" spans="1:17" ht="15.6" x14ac:dyDescent="0.3">
      <c r="A248" s="262"/>
      <c r="B248" s="264" t="s">
        <v>231</v>
      </c>
      <c r="C248" s="354"/>
      <c r="D248" s="354"/>
      <c r="E248" s="354"/>
      <c r="F248" s="354"/>
      <c r="G248" s="354"/>
      <c r="H248" s="354"/>
      <c r="I248" s="354"/>
      <c r="J248" s="264">
        <v>1</v>
      </c>
      <c r="K248" s="355">
        <f t="shared" si="5"/>
        <v>5.0607287449392713E-4</v>
      </c>
      <c r="L248" s="265">
        <v>134</v>
      </c>
      <c r="M248" s="355">
        <f t="shared" si="6"/>
        <v>1.6845598773036984E-3</v>
      </c>
      <c r="N248" s="332"/>
      <c r="O248" s="356"/>
      <c r="P248" s="5"/>
      <c r="Q248" s="104"/>
    </row>
    <row r="249" spans="1:17" ht="15.6" x14ac:dyDescent="0.3">
      <c r="A249" s="262"/>
      <c r="B249" s="264" t="s">
        <v>232</v>
      </c>
      <c r="C249" s="354"/>
      <c r="D249" s="354"/>
      <c r="E249" s="354"/>
      <c r="F249" s="354"/>
      <c r="G249" s="354"/>
      <c r="H249" s="354"/>
      <c r="I249" s="354"/>
      <c r="J249" s="264">
        <v>0</v>
      </c>
      <c r="K249" s="355">
        <f t="shared" si="5"/>
        <v>0</v>
      </c>
      <c r="L249" s="265">
        <v>0</v>
      </c>
      <c r="M249" s="355">
        <f t="shared" si="6"/>
        <v>0</v>
      </c>
      <c r="N249" s="332"/>
      <c r="O249" s="356"/>
      <c r="P249" s="5"/>
      <c r="Q249" s="104"/>
    </row>
    <row r="250" spans="1:17" ht="15.6" x14ac:dyDescent="0.3">
      <c r="A250" s="262"/>
      <c r="B250" s="264" t="s">
        <v>233</v>
      </c>
      <c r="C250" s="354"/>
      <c r="D250" s="354"/>
      <c r="E250" s="354"/>
      <c r="F250" s="354"/>
      <c r="G250" s="354"/>
      <c r="H250" s="354"/>
      <c r="I250" s="354"/>
      <c r="J250" s="264">
        <v>3</v>
      </c>
      <c r="K250" s="355">
        <f t="shared" si="5"/>
        <v>1.5182186234817814E-3</v>
      </c>
      <c r="L250" s="265">
        <v>185</v>
      </c>
      <c r="M250" s="355">
        <f t="shared" si="6"/>
        <v>2.325698338068539E-3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1976</v>
      </c>
      <c r="K252" s="355">
        <f>SUM(K238:K251)</f>
        <v>0.99999999999999989</v>
      </c>
      <c r="L252" s="265">
        <f>SUM(L238:L251)</f>
        <v>79546</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1</v>
      </c>
      <c r="K272" s="355">
        <f t="shared" ref="K272:K284" si="7">J272/$J$286</f>
        <v>0.25</v>
      </c>
      <c r="L272" s="265">
        <v>6</v>
      </c>
      <c r="M272" s="355">
        <f t="shared" ref="M272:M284" si="8">L272/$L$286</f>
        <v>0.03</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2</v>
      </c>
      <c r="K280" s="355">
        <f t="shared" si="7"/>
        <v>0.5</v>
      </c>
      <c r="L280" s="265">
        <v>158</v>
      </c>
      <c r="M280" s="355">
        <f t="shared" si="8"/>
        <v>0.79</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1</v>
      </c>
      <c r="K283" s="355">
        <f t="shared" si="7"/>
        <v>0.25</v>
      </c>
      <c r="L283" s="265">
        <v>36</v>
      </c>
      <c r="M283" s="355">
        <f t="shared" si="8"/>
        <v>0.18</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4</v>
      </c>
      <c r="K286" s="355">
        <f>SUM(K272:K284)</f>
        <v>1</v>
      </c>
      <c r="L286" s="265">
        <f>SUM(L272:L284)</f>
        <v>200</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1980</v>
      </c>
      <c r="K288" s="355"/>
      <c r="L288" s="359">
        <f>+L286+L269+L252</f>
        <v>79746</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89</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239</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90</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MAY 2012</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sheetPr>
  <dimension ref="A1:IV299"/>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6.4100000000000004E-2</v>
      </c>
      <c r="L16" s="232" t="s">
        <v>133</v>
      </c>
      <c r="M16" s="231">
        <v>0.93589999999999995</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41173</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74960.438000000009</v>
      </c>
      <c r="E29" s="279"/>
      <c r="F29" s="279">
        <f>F28*F32</f>
        <v>2392.2864</v>
      </c>
      <c r="G29" s="279"/>
      <c r="H29" s="279">
        <f>H28*H32</f>
        <v>2392.2864</v>
      </c>
      <c r="I29" s="279"/>
      <c r="J29" s="284"/>
      <c r="K29" s="279"/>
      <c r="L29" s="279"/>
      <c r="M29" s="280"/>
      <c r="N29" s="279">
        <f>SUM(D29:H29)+1</f>
        <v>79746.010800000004</v>
      </c>
      <c r="O29" s="281"/>
      <c r="P29" s="5"/>
    </row>
    <row r="30" spans="1:16" ht="15.6" x14ac:dyDescent="0.3">
      <c r="A30" s="274"/>
      <c r="B30" s="275" t="s">
        <v>130</v>
      </c>
      <c r="C30" s="278"/>
      <c r="D30" s="285">
        <f>D28*D31</f>
        <v>69776.696400000001</v>
      </c>
      <c r="E30" s="285"/>
      <c r="F30" s="285">
        <f>F28*F31</f>
        <v>2226.8471399999999</v>
      </c>
      <c r="G30" s="285"/>
      <c r="H30" s="285">
        <f>H28*H31</f>
        <v>2226.8471399999999</v>
      </c>
      <c r="I30" s="285"/>
      <c r="J30" s="288"/>
      <c r="K30" s="279"/>
      <c r="L30" s="279"/>
      <c r="M30" s="280"/>
      <c r="N30" s="285">
        <f>SUM(D30:I30)+1</f>
        <v>74231.390679999997</v>
      </c>
      <c r="O30" s="281"/>
      <c r="P30" s="5"/>
    </row>
    <row r="31" spans="1:16" ht="15.6" x14ac:dyDescent="0.3">
      <c r="A31" s="262"/>
      <c r="B31" s="290" t="s">
        <v>126</v>
      </c>
      <c r="C31" s="291"/>
      <c r="D31" s="292">
        <v>0.26785680000000001</v>
      </c>
      <c r="E31" s="292"/>
      <c r="F31" s="292">
        <v>0.54983879999999996</v>
      </c>
      <c r="G31" s="292"/>
      <c r="H31" s="292">
        <v>0.54983879999999996</v>
      </c>
      <c r="I31" s="293"/>
      <c r="J31" s="293"/>
      <c r="K31" s="294"/>
      <c r="L31" s="294"/>
      <c r="M31" s="269"/>
      <c r="N31" s="269"/>
      <c r="O31" s="270"/>
      <c r="P31" s="5"/>
    </row>
    <row r="32" spans="1:16" ht="15.6" x14ac:dyDescent="0.3">
      <c r="A32" s="262"/>
      <c r="B32" s="290" t="s">
        <v>127</v>
      </c>
      <c r="C32" s="291"/>
      <c r="D32" s="292">
        <v>0.28775600000000001</v>
      </c>
      <c r="E32" s="292"/>
      <c r="F32" s="292">
        <v>0.59068799999999999</v>
      </c>
      <c r="G32" s="292"/>
      <c r="H32" s="292">
        <v>0.59068799999999999</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1.1908800000000001E-2</v>
      </c>
      <c r="E34" s="297"/>
      <c r="F34" s="298">
        <v>1.31088E-2</v>
      </c>
      <c r="G34" s="297"/>
      <c r="H34" s="298">
        <v>1.51088E-2</v>
      </c>
      <c r="I34" s="297"/>
      <c r="J34" s="298"/>
      <c r="K34" s="297"/>
      <c r="L34" s="298"/>
      <c r="M34" s="268"/>
      <c r="N34" s="297">
        <f>SUMPRODUCT(D34:H34,D29:H29)/N29</f>
        <v>1.2040645483611327E-2</v>
      </c>
      <c r="O34" s="266"/>
      <c r="P34" s="5"/>
    </row>
    <row r="35" spans="1:17" ht="15.6" x14ac:dyDescent="0.3">
      <c r="A35" s="274"/>
      <c r="B35" s="263" t="s">
        <v>11</v>
      </c>
      <c r="C35" s="263"/>
      <c r="D35" s="298">
        <v>1.27869E-2</v>
      </c>
      <c r="E35" s="297"/>
      <c r="F35" s="298">
        <v>1.39869E-2</v>
      </c>
      <c r="G35" s="297"/>
      <c r="H35" s="298">
        <v>1.5986899999999998E-2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6.3827818022063873E-2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41169</v>
      </c>
      <c r="O45" s="266"/>
      <c r="P45" s="5"/>
    </row>
    <row r="46" spans="1:17" ht="15.6" x14ac:dyDescent="0.3">
      <c r="A46" s="274"/>
      <c r="B46" s="263" t="s">
        <v>119</v>
      </c>
      <c r="C46" s="263"/>
      <c r="D46" s="305"/>
      <c r="E46" s="305"/>
      <c r="F46" s="305"/>
      <c r="G46" s="305"/>
      <c r="H46" s="305"/>
      <c r="I46" s="305"/>
      <c r="J46" s="263">
        <f>+N46-L46+1</f>
        <v>92</v>
      </c>
      <c r="K46" s="305"/>
      <c r="L46" s="306">
        <v>40983</v>
      </c>
      <c r="M46" s="307"/>
      <c r="N46" s="306">
        <v>41074</v>
      </c>
      <c r="O46" s="266"/>
      <c r="P46" s="5"/>
    </row>
    <row r="47" spans="1:17" ht="15.6" x14ac:dyDescent="0.3">
      <c r="A47" s="274"/>
      <c r="B47" s="263" t="s">
        <v>120</v>
      </c>
      <c r="C47" s="263"/>
      <c r="D47" s="263"/>
      <c r="E47" s="263"/>
      <c r="F47" s="263"/>
      <c r="G47" s="263"/>
      <c r="H47" s="263"/>
      <c r="I47" s="263"/>
      <c r="J47" s="263">
        <f>+N47-L47+1</f>
        <v>94</v>
      </c>
      <c r="K47" s="263"/>
      <c r="L47" s="306">
        <v>41075</v>
      </c>
      <c r="M47" s="307"/>
      <c r="N47" s="306">
        <v>41168</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41155</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268</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79746</v>
      </c>
      <c r="G56" s="264"/>
      <c r="H56" s="264">
        <f>5515+564+431</f>
        <v>6510</v>
      </c>
      <c r="I56" s="264"/>
      <c r="J56" s="264">
        <f>564+431</f>
        <v>995</v>
      </c>
      <c r="K56" s="264"/>
      <c r="L56" s="264">
        <v>0</v>
      </c>
      <c r="M56" s="264"/>
      <c r="N56" s="265">
        <f>+F56-H56+J56-L56</f>
        <v>74231</v>
      </c>
      <c r="O56" s="266"/>
      <c r="P56" s="5"/>
    </row>
    <row r="57" spans="1:16" ht="15.6" x14ac:dyDescent="0.3">
      <c r="A57" s="262"/>
      <c r="B57" s="263" t="s">
        <v>209</v>
      </c>
      <c r="C57" s="264"/>
      <c r="D57" s="264">
        <v>756</v>
      </c>
      <c r="E57" s="264"/>
      <c r="F57" s="265">
        <v>409</v>
      </c>
      <c r="G57" s="264"/>
      <c r="H57" s="264">
        <v>22</v>
      </c>
      <c r="I57" s="264"/>
      <c r="J57" s="264">
        <v>0</v>
      </c>
      <c r="K57" s="264"/>
      <c r="L57" s="264">
        <v>0</v>
      </c>
      <c r="M57" s="264"/>
      <c r="N57" s="265">
        <f>+F57-H57</f>
        <v>387</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80155</v>
      </c>
      <c r="G59" s="264"/>
      <c r="H59" s="264">
        <f>SUM(H56:H58)</f>
        <v>6532</v>
      </c>
      <c r="I59" s="264"/>
      <c r="J59" s="264">
        <f>SUM(J56:J58)</f>
        <v>995</v>
      </c>
      <c r="K59" s="264"/>
      <c r="L59" s="264">
        <f>SUM(L56:L58)</f>
        <v>0</v>
      </c>
      <c r="M59" s="264"/>
      <c r="N59" s="264">
        <f>SUM(N56:N58)</f>
        <v>74618</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-409</v>
      </c>
      <c r="G68" s="264"/>
      <c r="H68" s="264"/>
      <c r="I68" s="264"/>
      <c r="J68" s="264"/>
      <c r="K68" s="264"/>
      <c r="L68" s="264"/>
      <c r="M68" s="264"/>
      <c r="N68" s="265">
        <f>-N57</f>
        <v>-387</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79746</v>
      </c>
      <c r="G72" s="264"/>
      <c r="H72" s="264"/>
      <c r="I72" s="264"/>
      <c r="J72" s="264"/>
      <c r="K72" s="264"/>
      <c r="L72" s="264"/>
      <c r="M72" s="264"/>
      <c r="N72" s="264">
        <f>SUM(N59:N71)</f>
        <v>74231</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41152</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v>6510</v>
      </c>
      <c r="M77" s="263"/>
      <c r="N77" s="265"/>
      <c r="O77" s="266"/>
      <c r="P77" s="5"/>
    </row>
    <row r="78" spans="1:16" ht="15.6" x14ac:dyDescent="0.3">
      <c r="A78" s="262"/>
      <c r="B78" s="263" t="s">
        <v>176</v>
      </c>
      <c r="C78" s="263"/>
      <c r="D78" s="300"/>
      <c r="E78" s="263"/>
      <c r="F78" s="309"/>
      <c r="G78" s="263"/>
      <c r="H78" s="263"/>
      <c r="I78" s="263"/>
      <c r="J78" s="263"/>
      <c r="K78" s="263"/>
      <c r="L78" s="264"/>
      <c r="M78" s="263"/>
      <c r="N78" s="265">
        <f>2001+203+2236-2077-155-1612</f>
        <v>596</v>
      </c>
      <c r="O78" s="266"/>
      <c r="P78" s="5"/>
    </row>
    <row r="79" spans="1:16" ht="15.6" x14ac:dyDescent="0.3">
      <c r="A79" s="262"/>
      <c r="B79" s="263" t="s">
        <v>174</v>
      </c>
      <c r="C79" s="263"/>
      <c r="D79" s="300"/>
      <c r="E79" s="263"/>
      <c r="F79" s="309"/>
      <c r="G79" s="263"/>
      <c r="H79" s="263"/>
      <c r="I79" s="263"/>
      <c r="J79" s="263"/>
      <c r="K79" s="263"/>
      <c r="L79" s="264"/>
      <c r="M79" s="263"/>
      <c r="N79" s="265">
        <f>66+65</f>
        <v>131</v>
      </c>
      <c r="O79" s="266"/>
      <c r="P79" s="5"/>
    </row>
    <row r="80" spans="1:16" ht="15.6" x14ac:dyDescent="0.3">
      <c r="A80" s="262"/>
      <c r="B80" s="263" t="s">
        <v>175</v>
      </c>
      <c r="C80" s="263"/>
      <c r="D80" s="300"/>
      <c r="E80" s="263"/>
      <c r="F80" s="309"/>
      <c r="G80" s="263"/>
      <c r="H80" s="263"/>
      <c r="I80" s="263"/>
      <c r="J80" s="263"/>
      <c r="K80" s="263"/>
      <c r="L80" s="264"/>
      <c r="M80" s="263"/>
      <c r="N80" s="265">
        <v>5</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6510</v>
      </c>
      <c r="M83" s="263"/>
      <c r="N83" s="264">
        <f>SUM(N76:N82)</f>
        <v>732</v>
      </c>
      <c r="O83" s="266"/>
      <c r="P83" s="5"/>
    </row>
    <row r="84" spans="1:17" ht="15.6" x14ac:dyDescent="0.3">
      <c r="A84" s="262"/>
      <c r="B84" s="263" t="s">
        <v>148</v>
      </c>
      <c r="C84" s="263"/>
      <c r="D84" s="263"/>
      <c r="E84" s="263"/>
      <c r="F84" s="263"/>
      <c r="G84" s="263"/>
      <c r="H84" s="263"/>
      <c r="I84" s="263"/>
      <c r="J84" s="263"/>
      <c r="K84" s="263"/>
      <c r="L84" s="264">
        <v>-564</v>
      </c>
      <c r="M84" s="263"/>
      <c r="N84" s="264">
        <f>-L84</f>
        <v>564</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5946</v>
      </c>
      <c r="M87" s="263"/>
      <c r="N87" s="264">
        <f>N83+N85+N84+N86</f>
        <v>1296</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-31-1-92</f>
        <v>-124</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-230</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-8</v>
      </c>
      <c r="O95" s="266"/>
      <c r="P95" s="5"/>
      <c r="Q95" s="104"/>
    </row>
    <row r="96" spans="1:17" ht="15.6" x14ac:dyDescent="0.3">
      <c r="A96" s="274" t="s">
        <v>170</v>
      </c>
      <c r="B96" s="263" t="s">
        <v>216</v>
      </c>
      <c r="C96" s="263"/>
      <c r="D96" s="263"/>
      <c r="E96" s="263"/>
      <c r="F96" s="263"/>
      <c r="G96" s="263"/>
      <c r="H96" s="263"/>
      <c r="I96" s="263"/>
      <c r="J96" s="263"/>
      <c r="K96" s="263"/>
      <c r="L96" s="263"/>
      <c r="M96" s="263"/>
      <c r="N96" s="265">
        <v>-9</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0</v>
      </c>
      <c r="M98" s="263"/>
      <c r="N98" s="265">
        <v>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-30</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-885</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-431</v>
      </c>
      <c r="M107" s="264"/>
      <c r="N107" s="265"/>
      <c r="O107" s="266"/>
      <c r="P107" s="5"/>
    </row>
    <row r="108" spans="1:16" ht="15.6" x14ac:dyDescent="0.3">
      <c r="A108" s="274"/>
      <c r="B108" s="263" t="s">
        <v>200</v>
      </c>
      <c r="C108" s="263"/>
      <c r="D108" s="263"/>
      <c r="E108" s="263"/>
      <c r="F108" s="263"/>
      <c r="G108" s="263"/>
      <c r="H108" s="263"/>
      <c r="I108" s="263"/>
      <c r="J108" s="263"/>
      <c r="K108" s="263"/>
      <c r="L108" s="264">
        <v>-5185</v>
      </c>
      <c r="M108" s="264"/>
      <c r="N108" s="265"/>
      <c r="O108" s="266"/>
      <c r="P108" s="5"/>
    </row>
    <row r="109" spans="1:16" ht="15.6" x14ac:dyDescent="0.3">
      <c r="A109" s="274"/>
      <c r="B109" s="263" t="s">
        <v>201</v>
      </c>
      <c r="C109" s="263"/>
      <c r="D109" s="263"/>
      <c r="E109" s="263"/>
      <c r="F109" s="263"/>
      <c r="G109" s="263"/>
      <c r="H109" s="263"/>
      <c r="I109" s="263"/>
      <c r="J109" s="263"/>
      <c r="K109" s="263"/>
      <c r="L109" s="264">
        <v>-165</v>
      </c>
      <c r="M109" s="264"/>
      <c r="N109" s="265"/>
      <c r="O109" s="266"/>
      <c r="P109" s="5"/>
    </row>
    <row r="110" spans="1:16" ht="15.6" x14ac:dyDescent="0.3">
      <c r="A110" s="274"/>
      <c r="B110" s="263" t="s">
        <v>202</v>
      </c>
      <c r="C110" s="263"/>
      <c r="D110" s="263"/>
      <c r="E110" s="263"/>
      <c r="F110" s="263"/>
      <c r="G110" s="263"/>
      <c r="H110" s="263"/>
      <c r="I110" s="263"/>
      <c r="J110" s="263"/>
      <c r="K110" s="263"/>
      <c r="L110" s="264">
        <v>-165</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-5946</v>
      </c>
      <c r="M111" s="264"/>
      <c r="N111" s="264">
        <f>SUM(N88:N109)</f>
        <v>-1296</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AUGUST 2012</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0</v>
      </c>
      <c r="O144" s="266"/>
      <c r="P144" s="5"/>
    </row>
    <row r="145" spans="1:256" ht="15.6" x14ac:dyDescent="0.3">
      <c r="A145" s="262"/>
      <c r="B145" s="263" t="s">
        <v>51</v>
      </c>
      <c r="C145" s="263"/>
      <c r="D145" s="263"/>
      <c r="E145" s="263"/>
      <c r="F145" s="263"/>
      <c r="G145" s="263"/>
      <c r="H145" s="263"/>
      <c r="I145" s="263"/>
      <c r="J145" s="263"/>
      <c r="K145" s="263"/>
      <c r="L145" s="263"/>
      <c r="M145" s="263"/>
      <c r="N145" s="265">
        <f>+N143+N144</f>
        <v>0</v>
      </c>
      <c r="O145" s="266"/>
      <c r="P145" s="5"/>
    </row>
    <row r="146" spans="1:256" ht="15.6" x14ac:dyDescent="0.3">
      <c r="A146" s="262"/>
      <c r="B146" s="263" t="s">
        <v>264</v>
      </c>
      <c r="C146" s="263"/>
      <c r="D146" s="263"/>
      <c r="E146" s="263"/>
      <c r="F146" s="263"/>
      <c r="G146" s="263"/>
      <c r="H146" s="263"/>
      <c r="I146" s="263"/>
      <c r="J146" s="263"/>
      <c r="K146" s="263"/>
      <c r="L146" s="263"/>
      <c r="M146" s="263"/>
      <c r="N146" s="265">
        <f>N98</f>
        <v>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74231</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74231</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+'May 12'!N161</f>
        <v>409</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21</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1</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387</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+'May 12'!L168</f>
        <v>16334</v>
      </c>
      <c r="M166" s="263"/>
      <c r="N166" s="265">
        <f>K166+L166</f>
        <v>16334</v>
      </c>
      <c r="O166" s="266"/>
      <c r="P166" s="5"/>
    </row>
    <row r="167" spans="1:256" ht="15.6" x14ac:dyDescent="0.3">
      <c r="A167" s="262"/>
      <c r="B167" s="263" t="s">
        <v>58</v>
      </c>
      <c r="C167" s="263"/>
      <c r="D167" s="263"/>
      <c r="E167" s="263"/>
      <c r="F167" s="263"/>
      <c r="G167" s="263"/>
      <c r="H167" s="263"/>
      <c r="I167" s="263"/>
      <c r="J167" s="263"/>
      <c r="K167" s="264">
        <v>0</v>
      </c>
      <c r="L167" s="264">
        <f>-L107</f>
        <v>431</v>
      </c>
      <c r="M167" s="263"/>
      <c r="N167" s="265">
        <f>K167+L167</f>
        <v>431</v>
      </c>
      <c r="O167" s="266"/>
      <c r="P167" s="5"/>
    </row>
    <row r="168" spans="1:256" ht="15.6" x14ac:dyDescent="0.3">
      <c r="A168" s="262"/>
      <c r="B168" s="263" t="s">
        <v>59</v>
      </c>
      <c r="C168" s="263"/>
      <c r="D168" s="263"/>
      <c r="E168" s="263"/>
      <c r="F168" s="263"/>
      <c r="G168" s="263"/>
      <c r="H168" s="263"/>
      <c r="I168" s="263"/>
      <c r="J168" s="263"/>
      <c r="K168" s="265">
        <f>K166+K167</f>
        <v>0</v>
      </c>
      <c r="L168" s="265">
        <f>L167+L166</f>
        <v>16765</v>
      </c>
      <c r="M168" s="263"/>
      <c r="N168" s="265">
        <f>K168+L168</f>
        <v>16765</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5.0869565217391308</v>
      </c>
      <c r="O173" s="266" t="s">
        <v>115</v>
      </c>
      <c r="P173" s="5"/>
    </row>
    <row r="174" spans="1:256" ht="15.6" x14ac:dyDescent="0.3">
      <c r="A174" s="262"/>
      <c r="B174" s="263" t="s">
        <v>63</v>
      </c>
      <c r="C174" s="263"/>
      <c r="D174" s="263"/>
      <c r="E174" s="263"/>
      <c r="F174" s="263"/>
      <c r="G174" s="263"/>
      <c r="H174" s="263"/>
      <c r="I174" s="263"/>
      <c r="J174" s="263"/>
      <c r="K174" s="263"/>
      <c r="L174" s="263"/>
      <c r="M174" s="263"/>
      <c r="N174" s="315">
        <v>1.99</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117.5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44.2</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103.55555555555556</v>
      </c>
      <c r="O177" s="266" t="s">
        <v>115</v>
      </c>
      <c r="P177" s="5"/>
    </row>
    <row r="178" spans="1:16" ht="15.6" x14ac:dyDescent="0.3">
      <c r="A178" s="262"/>
      <c r="B178" s="263" t="s">
        <v>167</v>
      </c>
      <c r="C178" s="263"/>
      <c r="D178" s="263"/>
      <c r="E178" s="263"/>
      <c r="F178" s="263"/>
      <c r="G178" s="263"/>
      <c r="H178" s="263"/>
      <c r="I178" s="263"/>
      <c r="J178" s="263"/>
      <c r="K178" s="263"/>
      <c r="L178" s="263"/>
      <c r="M178" s="263"/>
      <c r="N178" s="315">
        <v>41.75</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AUGUST 2012</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41152</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5.287E-2</v>
      </c>
      <c r="M188" s="263"/>
      <c r="N188" s="263"/>
      <c r="O188" s="266"/>
      <c r="P188" s="5"/>
    </row>
    <row r="189" spans="1:16" ht="15.6" x14ac:dyDescent="0.3">
      <c r="A189" s="321"/>
      <c r="B189" s="263" t="s">
        <v>212</v>
      </c>
      <c r="C189" s="322"/>
      <c r="D189" s="303"/>
      <c r="E189" s="303"/>
      <c r="F189" s="303"/>
      <c r="G189" s="303"/>
      <c r="H189" s="303"/>
      <c r="I189" s="303"/>
      <c r="J189" s="303"/>
      <c r="K189" s="303"/>
      <c r="L189" s="297">
        <f>N34</f>
        <v>1.2040645483611327E-2</v>
      </c>
      <c r="M189" s="263"/>
      <c r="N189" s="263"/>
      <c r="O189" s="266"/>
      <c r="P189" s="5"/>
    </row>
    <row r="190" spans="1:16" ht="15.6" x14ac:dyDescent="0.3">
      <c r="A190" s="321"/>
      <c r="B190" s="263" t="s">
        <v>70</v>
      </c>
      <c r="C190" s="322"/>
      <c r="D190" s="303"/>
      <c r="E190" s="303"/>
      <c r="F190" s="303"/>
      <c r="G190" s="303"/>
      <c r="H190" s="303"/>
      <c r="I190" s="303"/>
      <c r="J190" s="303"/>
      <c r="K190" s="303"/>
      <c r="L190" s="297">
        <f>L188-L189</f>
        <v>4.0829354516388673E-2</v>
      </c>
      <c r="M190" s="263"/>
      <c r="N190" s="263"/>
      <c r="O190" s="266"/>
      <c r="P190" s="5"/>
    </row>
    <row r="191" spans="1:16" ht="15.6" x14ac:dyDescent="0.3">
      <c r="A191" s="321"/>
      <c r="B191" s="263" t="s">
        <v>203</v>
      </c>
      <c r="C191" s="322"/>
      <c r="D191" s="303"/>
      <c r="E191" s="303"/>
      <c r="F191" s="303"/>
      <c r="G191" s="303"/>
      <c r="H191" s="303"/>
      <c r="I191" s="303"/>
      <c r="J191" s="303"/>
      <c r="K191" s="303"/>
      <c r="L191" s="297">
        <f>+N87/F59</f>
        <v>1.6168673195683363E-2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5.04</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8.1634188548641934E-2</v>
      </c>
      <c r="M197" s="263"/>
      <c r="N197" s="263"/>
      <c r="O197" s="266"/>
      <c r="P197" s="5"/>
    </row>
    <row r="198" spans="1:16" ht="15.6" x14ac:dyDescent="0.3">
      <c r="A198" s="321"/>
      <c r="B198" s="263" t="s">
        <v>74</v>
      </c>
      <c r="C198" s="322"/>
      <c r="D198" s="303"/>
      <c r="E198" s="303"/>
      <c r="F198" s="303"/>
      <c r="G198" s="303"/>
      <c r="H198" s="303"/>
      <c r="I198" s="303"/>
      <c r="J198" s="303"/>
      <c r="K198" s="303"/>
      <c r="L198" s="297">
        <v>0.26050000000000001</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15</v>
      </c>
      <c r="L201" s="331">
        <v>1825</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4</v>
      </c>
      <c r="L203" s="331">
        <f>+L286</f>
        <v>199</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0</v>
      </c>
      <c r="M207" s="291"/>
      <c r="N207" s="337"/>
      <c r="O207" s="342"/>
      <c r="P207" s="5"/>
    </row>
    <row r="208" spans="1:16" ht="15.6" x14ac:dyDescent="0.3">
      <c r="A208" s="330"/>
      <c r="B208" s="263" t="s">
        <v>82</v>
      </c>
      <c r="C208" s="264"/>
      <c r="D208" s="263"/>
      <c r="E208" s="263"/>
      <c r="F208" s="263"/>
      <c r="G208" s="263"/>
      <c r="H208" s="263"/>
      <c r="I208" s="263"/>
      <c r="J208" s="263"/>
      <c r="K208" s="276"/>
      <c r="L208" s="331">
        <f>'May 12'!L208+L207</f>
        <v>37</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1</v>
      </c>
      <c r="L210" s="331">
        <v>36</v>
      </c>
      <c r="M210" s="291"/>
      <c r="N210" s="337"/>
      <c r="O210" s="342"/>
      <c r="P210" s="5"/>
    </row>
    <row r="211" spans="1:17" ht="15.6" x14ac:dyDescent="0.3">
      <c r="A211" s="347"/>
      <c r="B211" s="263" t="s">
        <v>83</v>
      </c>
      <c r="C211" s="300"/>
      <c r="D211" s="263"/>
      <c r="E211" s="263"/>
      <c r="F211" s="263"/>
      <c r="G211" s="263"/>
      <c r="H211" s="263"/>
      <c r="I211" s="263"/>
      <c r="J211" s="263"/>
      <c r="K211" s="263"/>
      <c r="L211" s="339">
        <v>23.28</v>
      </c>
      <c r="M211" s="291"/>
      <c r="N211" s="337"/>
      <c r="O211" s="342"/>
      <c r="P211" s="5"/>
    </row>
    <row r="212" spans="1:17" ht="15.6" x14ac:dyDescent="0.3">
      <c r="A212" s="347"/>
      <c r="B212" s="263" t="s">
        <v>84</v>
      </c>
      <c r="C212" s="300"/>
      <c r="D212" s="263"/>
      <c r="E212" s="263"/>
      <c r="F212" s="263"/>
      <c r="G212" s="263"/>
      <c r="H212" s="263"/>
      <c r="I212" s="263"/>
      <c r="J212" s="263"/>
      <c r="K212" s="263"/>
      <c r="L212" s="339">
        <v>4.01</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1741</v>
      </c>
      <c r="K221" s="355">
        <f t="shared" ref="K221:K233" si="2">J221/$J$235</f>
        <v>0.93753365643511044</v>
      </c>
      <c r="L221" s="265">
        <f t="shared" ref="L221:L233" si="3">+L238+L255+L272</f>
        <v>67359</v>
      </c>
      <c r="M221" s="355">
        <f t="shared" ref="M221:M233" si="4">L221/$L$235</f>
        <v>0.90742412199754818</v>
      </c>
      <c r="N221" s="332"/>
      <c r="O221" s="356"/>
      <c r="P221" s="5"/>
    </row>
    <row r="222" spans="1:17" ht="15.6" x14ac:dyDescent="0.3">
      <c r="A222" s="262"/>
      <c r="B222" s="264" t="s">
        <v>86</v>
      </c>
      <c r="C222" s="354"/>
      <c r="D222" s="354"/>
      <c r="E222" s="354"/>
      <c r="F222" s="354"/>
      <c r="G222" s="354"/>
      <c r="H222" s="354"/>
      <c r="I222" s="354"/>
      <c r="J222" s="264">
        <f t="shared" si="1"/>
        <v>29</v>
      </c>
      <c r="K222" s="355">
        <f t="shared" si="2"/>
        <v>1.5616585891222402E-2</v>
      </c>
      <c r="L222" s="265">
        <f t="shared" si="3"/>
        <v>1371</v>
      </c>
      <c r="M222" s="355">
        <f t="shared" si="4"/>
        <v>1.8469372634074714E-2</v>
      </c>
      <c r="N222" s="332"/>
      <c r="O222" s="356"/>
      <c r="P222" s="5"/>
      <c r="Q222" s="104"/>
    </row>
    <row r="223" spans="1:17" ht="15.6" x14ac:dyDescent="0.3">
      <c r="A223" s="262"/>
      <c r="B223" s="264" t="s">
        <v>87</v>
      </c>
      <c r="C223" s="354"/>
      <c r="D223" s="354"/>
      <c r="E223" s="354"/>
      <c r="F223" s="354"/>
      <c r="G223" s="354"/>
      <c r="H223" s="354"/>
      <c r="I223" s="354"/>
      <c r="J223" s="264">
        <f t="shared" si="1"/>
        <v>19</v>
      </c>
      <c r="K223" s="355">
        <f t="shared" si="2"/>
        <v>1.0231556273559504E-2</v>
      </c>
      <c r="L223" s="265">
        <f t="shared" si="3"/>
        <v>1085</v>
      </c>
      <c r="M223" s="355">
        <f t="shared" si="4"/>
        <v>1.4616534870876049E-2</v>
      </c>
      <c r="N223" s="332"/>
      <c r="O223" s="356"/>
      <c r="P223" s="5"/>
    </row>
    <row r="224" spans="1:17" ht="15.6" x14ac:dyDescent="0.3">
      <c r="A224" s="262"/>
      <c r="B224" s="264" t="s">
        <v>145</v>
      </c>
      <c r="C224" s="354"/>
      <c r="D224" s="354"/>
      <c r="E224" s="354"/>
      <c r="F224" s="354"/>
      <c r="G224" s="354"/>
      <c r="H224" s="354"/>
      <c r="I224" s="354"/>
      <c r="J224" s="264">
        <f t="shared" si="1"/>
        <v>21</v>
      </c>
      <c r="K224" s="355">
        <f t="shared" si="2"/>
        <v>1.1308562197092083E-2</v>
      </c>
      <c r="L224" s="265">
        <f t="shared" si="3"/>
        <v>901</v>
      </c>
      <c r="M224" s="355">
        <f t="shared" si="4"/>
        <v>1.2137786100146838E-2</v>
      </c>
      <c r="N224" s="332"/>
      <c r="O224" s="356"/>
      <c r="P224" s="5"/>
      <c r="Q224" s="104"/>
    </row>
    <row r="225" spans="1:17" ht="15.6" x14ac:dyDescent="0.3">
      <c r="A225" s="262"/>
      <c r="B225" s="264" t="s">
        <v>146</v>
      </c>
      <c r="C225" s="354"/>
      <c r="D225" s="354"/>
      <c r="E225" s="354"/>
      <c r="F225" s="354"/>
      <c r="G225" s="354"/>
      <c r="H225" s="354"/>
      <c r="I225" s="354"/>
      <c r="J225" s="264">
        <f t="shared" si="1"/>
        <v>4</v>
      </c>
      <c r="K225" s="355">
        <f t="shared" si="2"/>
        <v>2.1540118470651588E-3</v>
      </c>
      <c r="L225" s="265">
        <f t="shared" si="3"/>
        <v>212</v>
      </c>
      <c r="M225" s="355">
        <f t="shared" si="4"/>
        <v>2.8559496706227856E-3</v>
      </c>
      <c r="N225" s="332"/>
      <c r="O225" s="356"/>
      <c r="P225" s="5"/>
    </row>
    <row r="226" spans="1:17" ht="15.6" x14ac:dyDescent="0.3">
      <c r="A226" s="262"/>
      <c r="B226" s="264" t="s">
        <v>147</v>
      </c>
      <c r="C226" s="354"/>
      <c r="D226" s="354"/>
      <c r="E226" s="354"/>
      <c r="F226" s="354"/>
      <c r="G226" s="354"/>
      <c r="H226" s="354"/>
      <c r="I226" s="354"/>
      <c r="J226" s="264">
        <f t="shared" si="1"/>
        <v>10</v>
      </c>
      <c r="K226" s="355">
        <f t="shared" si="2"/>
        <v>5.3850296176628969E-3</v>
      </c>
      <c r="L226" s="265">
        <f t="shared" si="3"/>
        <v>438</v>
      </c>
      <c r="M226" s="355">
        <f t="shared" si="4"/>
        <v>5.900499791192359E-3</v>
      </c>
      <c r="N226" s="332"/>
      <c r="O226" s="356"/>
      <c r="P226" s="5"/>
      <c r="Q226" s="104"/>
    </row>
    <row r="227" spans="1:17" ht="15.6" x14ac:dyDescent="0.3">
      <c r="A227" s="262"/>
      <c r="B227" s="264" t="s">
        <v>227</v>
      </c>
      <c r="C227" s="354"/>
      <c r="D227" s="354"/>
      <c r="E227" s="354"/>
      <c r="F227" s="354"/>
      <c r="G227" s="354"/>
      <c r="H227" s="354"/>
      <c r="I227" s="354"/>
      <c r="J227" s="264">
        <f t="shared" si="1"/>
        <v>14</v>
      </c>
      <c r="K227" s="355">
        <f t="shared" si="2"/>
        <v>7.5390414647280562E-3</v>
      </c>
      <c r="L227" s="265">
        <f t="shared" si="3"/>
        <v>705</v>
      </c>
      <c r="M227" s="355">
        <f t="shared" si="4"/>
        <v>9.4973798008918114E-3</v>
      </c>
      <c r="N227" s="332"/>
      <c r="O227" s="356"/>
      <c r="P227" s="5"/>
    </row>
    <row r="228" spans="1:17" ht="15.6" x14ac:dyDescent="0.3">
      <c r="A228" s="262"/>
      <c r="B228" s="264" t="s">
        <v>228</v>
      </c>
      <c r="C228" s="354"/>
      <c r="D228" s="354"/>
      <c r="E228" s="354"/>
      <c r="F228" s="354"/>
      <c r="G228" s="354"/>
      <c r="H228" s="354"/>
      <c r="I228" s="354"/>
      <c r="J228" s="264">
        <f t="shared" si="1"/>
        <v>7</v>
      </c>
      <c r="K228" s="355">
        <f t="shared" si="2"/>
        <v>3.7695207323640281E-3</v>
      </c>
      <c r="L228" s="265">
        <f t="shared" si="3"/>
        <v>438</v>
      </c>
      <c r="M228" s="355">
        <f t="shared" si="4"/>
        <v>5.900499791192359E-3</v>
      </c>
      <c r="N228" s="332"/>
      <c r="O228" s="356"/>
      <c r="P228" s="5"/>
      <c r="Q228" s="104"/>
    </row>
    <row r="229" spans="1:17" ht="15.6" x14ac:dyDescent="0.3">
      <c r="A229" s="262"/>
      <c r="B229" s="264" t="s">
        <v>229</v>
      </c>
      <c r="C229" s="354"/>
      <c r="D229" s="354"/>
      <c r="E229" s="354"/>
      <c r="F229" s="354"/>
      <c r="G229" s="354"/>
      <c r="H229" s="354"/>
      <c r="I229" s="354"/>
      <c r="J229" s="264">
        <f t="shared" si="1"/>
        <v>4</v>
      </c>
      <c r="K229" s="355">
        <f t="shared" si="2"/>
        <v>2.1540118470651588E-3</v>
      </c>
      <c r="L229" s="265">
        <f t="shared" si="3"/>
        <v>1140</v>
      </c>
      <c r="M229" s="355">
        <f t="shared" si="4"/>
        <v>1.5357465209952716E-2</v>
      </c>
      <c r="N229" s="332"/>
      <c r="O229" s="356"/>
      <c r="P229" s="5"/>
      <c r="Q229" s="104"/>
    </row>
    <row r="230" spans="1:17" ht="15.6" x14ac:dyDescent="0.3">
      <c r="A230" s="262"/>
      <c r="B230" s="264" t="s">
        <v>230</v>
      </c>
      <c r="C230" s="354"/>
      <c r="D230" s="354"/>
      <c r="E230" s="354"/>
      <c r="F230" s="354"/>
      <c r="G230" s="354"/>
      <c r="H230" s="354"/>
      <c r="I230" s="354"/>
      <c r="J230" s="264">
        <f t="shared" si="1"/>
        <v>3</v>
      </c>
      <c r="K230" s="355">
        <f t="shared" si="2"/>
        <v>1.6155088852988692E-3</v>
      </c>
      <c r="L230" s="265">
        <f t="shared" si="3"/>
        <v>239</v>
      </c>
      <c r="M230" s="355">
        <f t="shared" si="4"/>
        <v>3.2196791098058762E-3</v>
      </c>
      <c r="N230" s="332"/>
      <c r="O230" s="356"/>
      <c r="P230" s="5"/>
      <c r="Q230" s="104"/>
    </row>
    <row r="231" spans="1:17" ht="15.6" x14ac:dyDescent="0.3">
      <c r="A231" s="262"/>
      <c r="B231" s="264" t="s">
        <v>231</v>
      </c>
      <c r="C231" s="354"/>
      <c r="D231" s="354"/>
      <c r="E231" s="354"/>
      <c r="F231" s="354"/>
      <c r="G231" s="354"/>
      <c r="H231" s="354"/>
      <c r="I231" s="354"/>
      <c r="J231" s="264">
        <f t="shared" si="1"/>
        <v>2</v>
      </c>
      <c r="K231" s="355">
        <f t="shared" si="2"/>
        <v>1.0770059235325794E-3</v>
      </c>
      <c r="L231" s="265">
        <f t="shared" si="3"/>
        <v>158</v>
      </c>
      <c r="M231" s="355">
        <f t="shared" si="4"/>
        <v>2.1284907922566043E-3</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5.3850296176628971E-4</v>
      </c>
      <c r="L232" s="265">
        <f t="shared" si="3"/>
        <v>46</v>
      </c>
      <c r="M232" s="355">
        <f t="shared" si="4"/>
        <v>6.1968719268230257E-4</v>
      </c>
      <c r="N232" s="332"/>
      <c r="O232" s="356"/>
      <c r="P232" s="5"/>
      <c r="Q232" s="104"/>
    </row>
    <row r="233" spans="1:17" ht="15.6" x14ac:dyDescent="0.3">
      <c r="A233" s="262"/>
      <c r="B233" s="264" t="s">
        <v>233</v>
      </c>
      <c r="C233" s="354"/>
      <c r="D233" s="354"/>
      <c r="E233" s="354"/>
      <c r="F233" s="354"/>
      <c r="G233" s="354"/>
      <c r="H233" s="354"/>
      <c r="I233" s="354"/>
      <c r="J233" s="264">
        <f t="shared" si="1"/>
        <v>2</v>
      </c>
      <c r="K233" s="355">
        <f t="shared" si="2"/>
        <v>1.0770059235325794E-3</v>
      </c>
      <c r="L233" s="265">
        <f t="shared" si="3"/>
        <v>139</v>
      </c>
      <c r="M233" s="355">
        <f t="shared" si="4"/>
        <v>1.8725330387573925E-3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1857</v>
      </c>
      <c r="K235" s="355">
        <f>SUM(K221:K234)</f>
        <v>1</v>
      </c>
      <c r="L235" s="265">
        <f>SUM(L221:L234)</f>
        <v>74231</v>
      </c>
      <c r="M235" s="355">
        <f>SUM(M221:M234)</f>
        <v>0.99999999999999989</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1740</v>
      </c>
      <c r="K238" s="355">
        <f t="shared" ref="K238:K250" si="5">J238/$J$252</f>
        <v>0.93901780895844578</v>
      </c>
      <c r="L238" s="265">
        <v>67353</v>
      </c>
      <c r="M238" s="355">
        <f t="shared" ref="M238:M250" si="6">L238/$L$252</f>
        <v>0.90978225632159071</v>
      </c>
      <c r="N238" s="332"/>
      <c r="O238" s="356"/>
      <c r="P238" s="5"/>
    </row>
    <row r="239" spans="1:17" ht="15.6" x14ac:dyDescent="0.3">
      <c r="A239" s="262"/>
      <c r="B239" s="264" t="s">
        <v>86</v>
      </c>
      <c r="C239" s="354"/>
      <c r="D239" s="354"/>
      <c r="E239" s="354"/>
      <c r="F239" s="354"/>
      <c r="G239" s="354"/>
      <c r="H239" s="354"/>
      <c r="I239" s="354"/>
      <c r="J239" s="264">
        <v>29</v>
      </c>
      <c r="K239" s="355">
        <f t="shared" si="5"/>
        <v>1.5650296815974095E-2</v>
      </c>
      <c r="L239" s="265">
        <v>1371</v>
      </c>
      <c r="M239" s="355">
        <f t="shared" si="6"/>
        <v>1.8519018802679921E-2</v>
      </c>
      <c r="N239" s="332"/>
      <c r="O239" s="356"/>
      <c r="P239" s="5"/>
      <c r="Q239" s="104"/>
    </row>
    <row r="240" spans="1:17" ht="15.6" x14ac:dyDescent="0.3">
      <c r="A240" s="262"/>
      <c r="B240" s="264" t="s">
        <v>87</v>
      </c>
      <c r="C240" s="354"/>
      <c r="D240" s="354"/>
      <c r="E240" s="354"/>
      <c r="F240" s="354"/>
      <c r="G240" s="354"/>
      <c r="H240" s="354"/>
      <c r="I240" s="354"/>
      <c r="J240" s="264">
        <v>19</v>
      </c>
      <c r="K240" s="355">
        <f t="shared" si="5"/>
        <v>1.0253642741500269E-2</v>
      </c>
      <c r="L240" s="265">
        <v>1085</v>
      </c>
      <c r="M240" s="355">
        <f t="shared" si="6"/>
        <v>1.4655824508320725E-2</v>
      </c>
      <c r="N240" s="332"/>
      <c r="O240" s="356"/>
      <c r="P240" s="5"/>
    </row>
    <row r="241" spans="1:17" ht="15.6" x14ac:dyDescent="0.3">
      <c r="A241" s="262"/>
      <c r="B241" s="264" t="s">
        <v>145</v>
      </c>
      <c r="C241" s="354"/>
      <c r="D241" s="354"/>
      <c r="E241" s="354"/>
      <c r="F241" s="354"/>
      <c r="G241" s="354"/>
      <c r="H241" s="354"/>
      <c r="I241" s="354"/>
      <c r="J241" s="264">
        <v>21</v>
      </c>
      <c r="K241" s="355">
        <f t="shared" si="5"/>
        <v>1.1332973556395036E-2</v>
      </c>
      <c r="L241" s="265">
        <v>901</v>
      </c>
      <c r="M241" s="355">
        <f t="shared" si="6"/>
        <v>1.2170412794467258E-2</v>
      </c>
      <c r="N241" s="332"/>
      <c r="O241" s="356"/>
      <c r="P241" s="5"/>
      <c r="Q241" s="104"/>
    </row>
    <row r="242" spans="1:17" ht="15.6" x14ac:dyDescent="0.3">
      <c r="A242" s="262"/>
      <c r="B242" s="264" t="s">
        <v>146</v>
      </c>
      <c r="C242" s="354"/>
      <c r="D242" s="354"/>
      <c r="E242" s="354"/>
      <c r="F242" s="354"/>
      <c r="G242" s="354"/>
      <c r="H242" s="354"/>
      <c r="I242" s="354"/>
      <c r="J242" s="264">
        <v>4</v>
      </c>
      <c r="K242" s="355">
        <f t="shared" si="5"/>
        <v>2.1586616297895305E-3</v>
      </c>
      <c r="L242" s="265">
        <v>212</v>
      </c>
      <c r="M242" s="355">
        <f t="shared" si="6"/>
        <v>2.8636265398746487E-3</v>
      </c>
      <c r="N242" s="332"/>
      <c r="O242" s="356"/>
      <c r="P242" s="5"/>
    </row>
    <row r="243" spans="1:17" ht="15.6" x14ac:dyDescent="0.3">
      <c r="A243" s="262"/>
      <c r="B243" s="264" t="s">
        <v>147</v>
      </c>
      <c r="C243" s="354"/>
      <c r="D243" s="354"/>
      <c r="E243" s="354"/>
      <c r="F243" s="354"/>
      <c r="G243" s="354"/>
      <c r="H243" s="354"/>
      <c r="I243" s="354"/>
      <c r="J243" s="264">
        <v>10</v>
      </c>
      <c r="K243" s="355">
        <f t="shared" si="5"/>
        <v>5.3966540744738263E-3</v>
      </c>
      <c r="L243" s="265">
        <v>438</v>
      </c>
      <c r="M243" s="355">
        <f t="shared" si="6"/>
        <v>5.9163604927598874E-3</v>
      </c>
      <c r="N243" s="332"/>
      <c r="O243" s="356"/>
      <c r="P243" s="5"/>
      <c r="Q243" s="104"/>
    </row>
    <row r="244" spans="1:17" ht="15.6" x14ac:dyDescent="0.3">
      <c r="A244" s="262"/>
      <c r="B244" s="264" t="s">
        <v>227</v>
      </c>
      <c r="C244" s="354"/>
      <c r="D244" s="354"/>
      <c r="E244" s="354"/>
      <c r="F244" s="354"/>
      <c r="G244" s="354"/>
      <c r="H244" s="354"/>
      <c r="I244" s="354"/>
      <c r="J244" s="264">
        <v>14</v>
      </c>
      <c r="K244" s="355">
        <f t="shared" si="5"/>
        <v>7.5553157042633568E-3</v>
      </c>
      <c r="L244" s="265">
        <v>705</v>
      </c>
      <c r="M244" s="355">
        <f t="shared" si="6"/>
        <v>9.5229090123189978E-3</v>
      </c>
      <c r="N244" s="332"/>
      <c r="O244" s="356"/>
      <c r="P244" s="5"/>
    </row>
    <row r="245" spans="1:17" ht="15.6" x14ac:dyDescent="0.3">
      <c r="A245" s="262"/>
      <c r="B245" s="264" t="s">
        <v>228</v>
      </c>
      <c r="C245" s="354"/>
      <c r="D245" s="354"/>
      <c r="E245" s="354"/>
      <c r="F245" s="354"/>
      <c r="G245" s="354"/>
      <c r="H245" s="354"/>
      <c r="I245" s="354"/>
      <c r="J245" s="264">
        <v>7</v>
      </c>
      <c r="K245" s="355">
        <f t="shared" si="5"/>
        <v>3.7776578521316784E-3</v>
      </c>
      <c r="L245" s="265">
        <v>438</v>
      </c>
      <c r="M245" s="355">
        <f t="shared" si="6"/>
        <v>5.9163604927598874E-3</v>
      </c>
      <c r="N245" s="332"/>
      <c r="O245" s="356"/>
      <c r="P245" s="5"/>
      <c r="Q245" s="104"/>
    </row>
    <row r="246" spans="1:17" ht="15.6" x14ac:dyDescent="0.3">
      <c r="A246" s="262"/>
      <c r="B246" s="264" t="s">
        <v>229</v>
      </c>
      <c r="C246" s="354"/>
      <c r="D246" s="354"/>
      <c r="E246" s="354"/>
      <c r="F246" s="354"/>
      <c r="G246" s="354"/>
      <c r="H246" s="354"/>
      <c r="I246" s="354"/>
      <c r="J246" s="264">
        <v>2</v>
      </c>
      <c r="K246" s="355">
        <f t="shared" si="5"/>
        <v>1.0793308148947653E-3</v>
      </c>
      <c r="L246" s="265">
        <v>1016</v>
      </c>
      <c r="M246" s="355">
        <f t="shared" si="6"/>
        <v>1.3723795115625676E-2</v>
      </c>
      <c r="N246" s="332"/>
      <c r="O246" s="356"/>
      <c r="P246" s="5"/>
      <c r="Q246" s="104"/>
    </row>
    <row r="247" spans="1:17" ht="15.6" x14ac:dyDescent="0.3">
      <c r="A247" s="262"/>
      <c r="B247" s="264" t="s">
        <v>230</v>
      </c>
      <c r="C247" s="354"/>
      <c r="D247" s="354"/>
      <c r="E247" s="354"/>
      <c r="F247" s="354"/>
      <c r="G247" s="354"/>
      <c r="H247" s="354"/>
      <c r="I247" s="354"/>
      <c r="J247" s="264">
        <v>2</v>
      </c>
      <c r="K247" s="355">
        <f t="shared" si="5"/>
        <v>1.0793308148947653E-3</v>
      </c>
      <c r="L247" s="265">
        <v>170</v>
      </c>
      <c r="M247" s="355">
        <f t="shared" si="6"/>
        <v>2.2963043008428787E-3</v>
      </c>
      <c r="N247" s="332"/>
      <c r="O247" s="356"/>
      <c r="P247" s="5"/>
      <c r="Q247" s="104"/>
    </row>
    <row r="248" spans="1:17" ht="15.6" x14ac:dyDescent="0.3">
      <c r="A248" s="262"/>
      <c r="B248" s="264" t="s">
        <v>231</v>
      </c>
      <c r="C248" s="354"/>
      <c r="D248" s="354"/>
      <c r="E248" s="354"/>
      <c r="F248" s="354"/>
      <c r="G248" s="354"/>
      <c r="H248" s="354"/>
      <c r="I248" s="354"/>
      <c r="J248" s="264">
        <v>2</v>
      </c>
      <c r="K248" s="355">
        <f t="shared" si="5"/>
        <v>1.0793308148947653E-3</v>
      </c>
      <c r="L248" s="265">
        <v>158</v>
      </c>
      <c r="M248" s="355">
        <f t="shared" si="6"/>
        <v>2.1342122325480875E-3</v>
      </c>
      <c r="N248" s="332"/>
      <c r="O248" s="356"/>
      <c r="P248" s="5"/>
      <c r="Q248" s="104"/>
    </row>
    <row r="249" spans="1:17" ht="15.6" x14ac:dyDescent="0.3">
      <c r="A249" s="262"/>
      <c r="B249" s="264" t="s">
        <v>232</v>
      </c>
      <c r="C249" s="354"/>
      <c r="D249" s="354"/>
      <c r="E249" s="354"/>
      <c r="F249" s="354"/>
      <c r="G249" s="354"/>
      <c r="H249" s="354"/>
      <c r="I249" s="354"/>
      <c r="J249" s="264">
        <v>1</v>
      </c>
      <c r="K249" s="355">
        <f t="shared" si="5"/>
        <v>5.3966540744738263E-4</v>
      </c>
      <c r="L249" s="265">
        <v>46</v>
      </c>
      <c r="M249" s="355">
        <f t="shared" si="6"/>
        <v>6.2135292846336721E-4</v>
      </c>
      <c r="N249" s="332"/>
      <c r="O249" s="356"/>
      <c r="P249" s="5"/>
      <c r="Q249" s="104"/>
    </row>
    <row r="250" spans="1:17" ht="15.6" x14ac:dyDescent="0.3">
      <c r="A250" s="262"/>
      <c r="B250" s="264" t="s">
        <v>233</v>
      </c>
      <c r="C250" s="354"/>
      <c r="D250" s="354"/>
      <c r="E250" s="354"/>
      <c r="F250" s="354"/>
      <c r="G250" s="354"/>
      <c r="H250" s="354"/>
      <c r="I250" s="354"/>
      <c r="J250" s="264">
        <v>2</v>
      </c>
      <c r="K250" s="355">
        <f t="shared" si="5"/>
        <v>1.0793308148947653E-3</v>
      </c>
      <c r="L250" s="265">
        <v>139</v>
      </c>
      <c r="M250" s="355">
        <f t="shared" si="6"/>
        <v>1.877566457748001E-3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1853</v>
      </c>
      <c r="K252" s="355">
        <f>SUM(K238:K251)</f>
        <v>1.0000000000000002</v>
      </c>
      <c r="L252" s="265">
        <f>SUM(L238:L251)</f>
        <v>74032</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1</v>
      </c>
      <c r="K272" s="355">
        <f t="shared" ref="K272:K284" si="7">J272/$J$286</f>
        <v>0.25</v>
      </c>
      <c r="L272" s="265">
        <v>6</v>
      </c>
      <c r="M272" s="355">
        <f t="shared" ref="M272:M284" si="8">L272/$L$286</f>
        <v>3.015075376884422E-2</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2</v>
      </c>
      <c r="K280" s="355">
        <f t="shared" si="7"/>
        <v>0.5</v>
      </c>
      <c r="L280" s="265">
        <v>124</v>
      </c>
      <c r="M280" s="355">
        <f t="shared" si="8"/>
        <v>0.62311557788944727</v>
      </c>
      <c r="N280" s="263"/>
      <c r="O280" s="266"/>
      <c r="P280" s="5"/>
    </row>
    <row r="281" spans="1:16" ht="15.6" x14ac:dyDescent="0.3">
      <c r="A281" s="262"/>
      <c r="B281" s="264" t="s">
        <v>230</v>
      </c>
      <c r="C281" s="263"/>
      <c r="D281" s="357"/>
      <c r="E281" s="357"/>
      <c r="F281" s="357"/>
      <c r="G281" s="357"/>
      <c r="H281" s="357"/>
      <c r="I281" s="357"/>
      <c r="J281" s="264">
        <v>1</v>
      </c>
      <c r="K281" s="355">
        <f t="shared" si="7"/>
        <v>0.25</v>
      </c>
      <c r="L281" s="265">
        <v>69</v>
      </c>
      <c r="M281" s="355">
        <f t="shared" si="8"/>
        <v>0.34673366834170855</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4</v>
      </c>
      <c r="K286" s="355">
        <f>SUM(K272:K284)</f>
        <v>1</v>
      </c>
      <c r="L286" s="265">
        <f>SUM(L272:L284)</f>
        <v>199</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1857</v>
      </c>
      <c r="K288" s="355"/>
      <c r="L288" s="359">
        <f>+L286+L269+L252</f>
        <v>74231</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89</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239</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90</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AUGUST 2012</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sheetPr>
  <dimension ref="A1:IV299"/>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6.6900000000000001E-2</v>
      </c>
      <c r="L16" s="232" t="s">
        <v>133</v>
      </c>
      <c r="M16" s="231">
        <v>0.93310000000000004</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41267</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69776.696400000001</v>
      </c>
      <c r="E29" s="279"/>
      <c r="F29" s="279">
        <f>F28*F32</f>
        <v>2226.8471399999999</v>
      </c>
      <c r="G29" s="279"/>
      <c r="H29" s="279">
        <f>H28*H32</f>
        <v>2226.8471399999999</v>
      </c>
      <c r="I29" s="279"/>
      <c r="J29" s="284"/>
      <c r="K29" s="279"/>
      <c r="L29" s="279"/>
      <c r="M29" s="280"/>
      <c r="N29" s="279">
        <f>SUM(D29:H29)+1</f>
        <v>74231.390679999997</v>
      </c>
      <c r="O29" s="281"/>
      <c r="P29" s="5"/>
    </row>
    <row r="30" spans="1:16" ht="15.6" x14ac:dyDescent="0.3">
      <c r="A30" s="274"/>
      <c r="B30" s="275" t="s">
        <v>130</v>
      </c>
      <c r="C30" s="278"/>
      <c r="D30" s="285">
        <f>D28*D31</f>
        <v>64278.479200000002</v>
      </c>
      <c r="E30" s="285"/>
      <c r="F30" s="285">
        <f>F28*F31</f>
        <v>2051.3711699999999</v>
      </c>
      <c r="G30" s="285"/>
      <c r="H30" s="285">
        <f>H28*H31</f>
        <v>2051.3711699999999</v>
      </c>
      <c r="I30" s="285"/>
      <c r="J30" s="288"/>
      <c r="K30" s="279"/>
      <c r="L30" s="279"/>
      <c r="M30" s="280"/>
      <c r="N30" s="285">
        <f>SUM(D30:I30)+1</f>
        <v>68382.221539999999</v>
      </c>
      <c r="O30" s="281"/>
      <c r="P30" s="5"/>
    </row>
    <row r="31" spans="1:16" ht="15.6" x14ac:dyDescent="0.3">
      <c r="A31" s="262"/>
      <c r="B31" s="290" t="s">
        <v>126</v>
      </c>
      <c r="C31" s="291"/>
      <c r="D31" s="292">
        <v>0.24675040000000001</v>
      </c>
      <c r="E31" s="292"/>
      <c r="F31" s="292">
        <v>0.50651139999999995</v>
      </c>
      <c r="G31" s="292"/>
      <c r="H31" s="292">
        <v>0.50651139999999995</v>
      </c>
      <c r="I31" s="293"/>
      <c r="J31" s="293"/>
      <c r="K31" s="294"/>
      <c r="L31" s="294"/>
      <c r="M31" s="269"/>
      <c r="N31" s="269"/>
      <c r="O31" s="270"/>
      <c r="P31" s="5"/>
    </row>
    <row r="32" spans="1:16" ht="15.6" x14ac:dyDescent="0.3">
      <c r="A32" s="262"/>
      <c r="B32" s="290" t="s">
        <v>127</v>
      </c>
      <c r="C32" s="291"/>
      <c r="D32" s="292">
        <v>0.26785680000000001</v>
      </c>
      <c r="E32" s="292"/>
      <c r="F32" s="292">
        <v>0.54983879999999996</v>
      </c>
      <c r="G32" s="292"/>
      <c r="H32" s="292">
        <v>0.54983879999999996</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8.9312999999999997E-3</v>
      </c>
      <c r="E34" s="297"/>
      <c r="F34" s="298">
        <v>1.0131299999999999E-2</v>
      </c>
      <c r="G34" s="297"/>
      <c r="H34" s="298">
        <v>1.2131299999999999E-2</v>
      </c>
      <c r="I34" s="297"/>
      <c r="J34" s="298"/>
      <c r="K34" s="297"/>
      <c r="L34" s="298"/>
      <c r="M34" s="268"/>
      <c r="N34" s="297">
        <f>SUMPRODUCT(D34:H34,D29:H29)/N29</f>
        <v>9.0631740768066672E-3</v>
      </c>
      <c r="O34" s="266"/>
      <c r="P34" s="5"/>
    </row>
    <row r="35" spans="1:17" ht="15.6" x14ac:dyDescent="0.3">
      <c r="A35" s="274"/>
      <c r="B35" s="263" t="s">
        <v>11</v>
      </c>
      <c r="C35" s="263"/>
      <c r="D35" s="298">
        <v>1.1908800000000001E-2</v>
      </c>
      <c r="E35" s="297"/>
      <c r="F35" s="298">
        <v>1.31088E-2</v>
      </c>
      <c r="G35" s="297"/>
      <c r="H35" s="298">
        <v>1.51088E-2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6.3827619929128623E-2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41260</v>
      </c>
      <c r="O45" s="266"/>
      <c r="P45" s="5"/>
    </row>
    <row r="46" spans="1:17" ht="15.6" x14ac:dyDescent="0.3">
      <c r="A46" s="274"/>
      <c r="B46" s="263" t="s">
        <v>119</v>
      </c>
      <c r="C46" s="263"/>
      <c r="D46" s="305"/>
      <c r="E46" s="305"/>
      <c r="F46" s="305"/>
      <c r="G46" s="305"/>
      <c r="H46" s="305"/>
      <c r="I46" s="305"/>
      <c r="J46" s="263">
        <f>+N46-L46+1</f>
        <v>94</v>
      </c>
      <c r="K46" s="305"/>
      <c r="L46" s="306">
        <v>41075</v>
      </c>
      <c r="M46" s="307"/>
      <c r="N46" s="306">
        <v>41168</v>
      </c>
      <c r="O46" s="266"/>
      <c r="P46" s="5"/>
    </row>
    <row r="47" spans="1:17" ht="15.6" x14ac:dyDescent="0.3">
      <c r="A47" s="274"/>
      <c r="B47" s="263" t="s">
        <v>120</v>
      </c>
      <c r="C47" s="263"/>
      <c r="D47" s="263"/>
      <c r="E47" s="263"/>
      <c r="F47" s="263"/>
      <c r="G47" s="263"/>
      <c r="H47" s="263"/>
      <c r="I47" s="263"/>
      <c r="J47" s="263">
        <f>+N47-L47+1</f>
        <v>91</v>
      </c>
      <c r="K47" s="263"/>
      <c r="L47" s="306">
        <v>41169</v>
      </c>
      <c r="M47" s="307"/>
      <c r="N47" s="306">
        <v>41259</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41246</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269</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74231</v>
      </c>
      <c r="G56" s="264"/>
      <c r="H56" s="264">
        <f>5849+651+450</f>
        <v>6950</v>
      </c>
      <c r="I56" s="264"/>
      <c r="J56" s="264">
        <f>651+450</f>
        <v>1101</v>
      </c>
      <c r="K56" s="264"/>
      <c r="L56" s="264">
        <v>0</v>
      </c>
      <c r="M56" s="264"/>
      <c r="N56" s="265">
        <f>+F56-H56+J56-L56</f>
        <v>68382</v>
      </c>
      <c r="O56" s="266"/>
      <c r="P56" s="5"/>
    </row>
    <row r="57" spans="1:16" ht="15.6" x14ac:dyDescent="0.3">
      <c r="A57" s="262"/>
      <c r="B57" s="263" t="s">
        <v>209</v>
      </c>
      <c r="C57" s="264"/>
      <c r="D57" s="264">
        <v>756</v>
      </c>
      <c r="E57" s="264"/>
      <c r="F57" s="265">
        <v>387</v>
      </c>
      <c r="G57" s="264"/>
      <c r="H57" s="264">
        <v>18</v>
      </c>
      <c r="I57" s="264"/>
      <c r="J57" s="264">
        <v>0</v>
      </c>
      <c r="K57" s="264"/>
      <c r="L57" s="264">
        <v>0</v>
      </c>
      <c r="M57" s="264"/>
      <c r="N57" s="265">
        <f>+F57-H57</f>
        <v>369</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74618</v>
      </c>
      <c r="G59" s="264"/>
      <c r="H59" s="264">
        <f>SUM(H56:H58)</f>
        <v>6968</v>
      </c>
      <c r="I59" s="264"/>
      <c r="J59" s="264">
        <f>SUM(J56:J58)</f>
        <v>1101</v>
      </c>
      <c r="K59" s="264"/>
      <c r="L59" s="264">
        <f>SUM(L56:L58)</f>
        <v>0</v>
      </c>
      <c r="M59" s="264"/>
      <c r="N59" s="264">
        <f>SUM(N56:N58)</f>
        <v>68751</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-409</v>
      </c>
      <c r="G68" s="264"/>
      <c r="H68" s="264"/>
      <c r="I68" s="264"/>
      <c r="J68" s="264"/>
      <c r="K68" s="264"/>
      <c r="L68" s="264"/>
      <c r="M68" s="264"/>
      <c r="N68" s="265">
        <f>-N57</f>
        <v>-369</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74209</v>
      </c>
      <c r="G72" s="264"/>
      <c r="H72" s="264"/>
      <c r="I72" s="264"/>
      <c r="J72" s="264"/>
      <c r="K72" s="264"/>
      <c r="L72" s="264"/>
      <c r="M72" s="264"/>
      <c r="N72" s="264">
        <f>SUM(N59:N71)</f>
        <v>68382</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41243</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v>6950</v>
      </c>
      <c r="M77" s="263"/>
      <c r="N77" s="265"/>
      <c r="O77" s="266"/>
      <c r="P77" s="5"/>
    </row>
    <row r="78" spans="1:16" ht="15.6" x14ac:dyDescent="0.3">
      <c r="A78" s="262"/>
      <c r="B78" s="263" t="s">
        <v>176</v>
      </c>
      <c r="C78" s="263"/>
      <c r="D78" s="300"/>
      <c r="E78" s="263"/>
      <c r="F78" s="309"/>
      <c r="G78" s="263"/>
      <c r="H78" s="263"/>
      <c r="I78" s="263"/>
      <c r="J78" s="263"/>
      <c r="K78" s="263"/>
      <c r="L78" s="264"/>
      <c r="M78" s="263"/>
      <c r="N78" s="265">
        <f>2313+172+2019-2480-118-1658</f>
        <v>248</v>
      </c>
      <c r="O78" s="266"/>
      <c r="P78" s="5"/>
    </row>
    <row r="79" spans="1:16" ht="15.6" x14ac:dyDescent="0.3">
      <c r="A79" s="262"/>
      <c r="B79" s="263" t="s">
        <v>174</v>
      </c>
      <c r="C79" s="263"/>
      <c r="D79" s="300"/>
      <c r="E79" s="263"/>
      <c r="F79" s="309"/>
      <c r="G79" s="263"/>
      <c r="H79" s="263"/>
      <c r="I79" s="263"/>
      <c r="J79" s="263"/>
      <c r="K79" s="263"/>
      <c r="L79" s="264"/>
      <c r="M79" s="263"/>
      <c r="N79" s="265">
        <f>56+1+72</f>
        <v>129</v>
      </c>
      <c r="O79" s="266"/>
      <c r="P79" s="5"/>
    </row>
    <row r="80" spans="1:16" ht="15.6" x14ac:dyDescent="0.3">
      <c r="A80" s="262"/>
      <c r="B80" s="263" t="s">
        <v>175</v>
      </c>
      <c r="C80" s="263"/>
      <c r="D80" s="300"/>
      <c r="E80" s="263"/>
      <c r="F80" s="309"/>
      <c r="G80" s="263"/>
      <c r="H80" s="263"/>
      <c r="I80" s="263"/>
      <c r="J80" s="263"/>
      <c r="K80" s="263"/>
      <c r="L80" s="264"/>
      <c r="M80" s="263"/>
      <c r="N80" s="265">
        <v>4</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6950</v>
      </c>
      <c r="M83" s="263"/>
      <c r="N83" s="264">
        <f>SUM(N76:N82)</f>
        <v>381</v>
      </c>
      <c r="O83" s="266"/>
      <c r="P83" s="5"/>
    </row>
    <row r="84" spans="1:17" ht="15.6" x14ac:dyDescent="0.3">
      <c r="A84" s="262"/>
      <c r="B84" s="263" t="s">
        <v>148</v>
      </c>
      <c r="C84" s="263"/>
      <c r="D84" s="263"/>
      <c r="E84" s="263"/>
      <c r="F84" s="263"/>
      <c r="G84" s="263"/>
      <c r="H84" s="263"/>
      <c r="I84" s="263"/>
      <c r="J84" s="263"/>
      <c r="K84" s="263"/>
      <c r="L84" s="264">
        <v>-651</v>
      </c>
      <c r="M84" s="263"/>
      <c r="N84" s="264">
        <f>-L84</f>
        <v>651</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6299</v>
      </c>
      <c r="M87" s="263"/>
      <c r="N87" s="264">
        <f>N83+N85+N84+N86</f>
        <v>1032</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-28-1-73</f>
        <v>-102</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-155</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-6</v>
      </c>
      <c r="O95" s="266"/>
      <c r="P95" s="5"/>
      <c r="Q95" s="104"/>
    </row>
    <row r="96" spans="1:17" ht="15.6" x14ac:dyDescent="0.3">
      <c r="A96" s="274" t="s">
        <v>170</v>
      </c>
      <c r="B96" s="263" t="s">
        <v>216</v>
      </c>
      <c r="C96" s="263"/>
      <c r="D96" s="263"/>
      <c r="E96" s="263"/>
      <c r="F96" s="263"/>
      <c r="G96" s="263"/>
      <c r="H96" s="263"/>
      <c r="I96" s="263"/>
      <c r="J96" s="263"/>
      <c r="K96" s="263"/>
      <c r="L96" s="263"/>
      <c r="M96" s="263"/>
      <c r="N96" s="265">
        <v>-7</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0</v>
      </c>
      <c r="M98" s="263"/>
      <c r="N98" s="265">
        <v>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-28</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-724</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-450</v>
      </c>
      <c r="M107" s="264"/>
      <c r="N107" s="265"/>
      <c r="O107" s="266"/>
      <c r="P107" s="5"/>
    </row>
    <row r="108" spans="1:16" ht="15.6" x14ac:dyDescent="0.3">
      <c r="A108" s="274"/>
      <c r="B108" s="263" t="s">
        <v>200</v>
      </c>
      <c r="C108" s="263"/>
      <c r="D108" s="263"/>
      <c r="E108" s="263"/>
      <c r="F108" s="263"/>
      <c r="G108" s="263"/>
      <c r="H108" s="263"/>
      <c r="I108" s="263"/>
      <c r="J108" s="263"/>
      <c r="K108" s="263"/>
      <c r="L108" s="264">
        <v>-5499</v>
      </c>
      <c r="M108" s="264"/>
      <c r="N108" s="265"/>
      <c r="O108" s="266"/>
      <c r="P108" s="5"/>
    </row>
    <row r="109" spans="1:16" ht="15.6" x14ac:dyDescent="0.3">
      <c r="A109" s="274"/>
      <c r="B109" s="263" t="s">
        <v>201</v>
      </c>
      <c r="C109" s="263"/>
      <c r="D109" s="263"/>
      <c r="E109" s="263"/>
      <c r="F109" s="263"/>
      <c r="G109" s="263"/>
      <c r="H109" s="263"/>
      <c r="I109" s="263"/>
      <c r="J109" s="263"/>
      <c r="K109" s="263"/>
      <c r="L109" s="264">
        <v>-175</v>
      </c>
      <c r="M109" s="264"/>
      <c r="N109" s="265"/>
      <c r="O109" s="266"/>
      <c r="P109" s="5"/>
    </row>
    <row r="110" spans="1:16" ht="15.6" x14ac:dyDescent="0.3">
      <c r="A110" s="274"/>
      <c r="B110" s="263" t="s">
        <v>202</v>
      </c>
      <c r="C110" s="263"/>
      <c r="D110" s="263"/>
      <c r="E110" s="263"/>
      <c r="F110" s="263"/>
      <c r="G110" s="263"/>
      <c r="H110" s="263"/>
      <c r="I110" s="263"/>
      <c r="J110" s="263"/>
      <c r="K110" s="263"/>
      <c r="L110" s="264">
        <v>-175</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-6299</v>
      </c>
      <c r="M111" s="264"/>
      <c r="N111" s="264">
        <f>SUM(N88:N109)</f>
        <v>-1032</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NOVEMBER 2012</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0</v>
      </c>
      <c r="O144" s="266"/>
      <c r="P144" s="5"/>
    </row>
    <row r="145" spans="1:256" ht="15.6" x14ac:dyDescent="0.3">
      <c r="A145" s="262"/>
      <c r="B145" s="263" t="s">
        <v>51</v>
      </c>
      <c r="C145" s="263"/>
      <c r="D145" s="263"/>
      <c r="E145" s="263"/>
      <c r="F145" s="263"/>
      <c r="G145" s="263"/>
      <c r="H145" s="263"/>
      <c r="I145" s="263"/>
      <c r="J145" s="263"/>
      <c r="K145" s="263"/>
      <c r="L145" s="263"/>
      <c r="M145" s="263"/>
      <c r="N145" s="265">
        <f>+N143+N144</f>
        <v>0</v>
      </c>
      <c r="O145" s="266"/>
      <c r="P145" s="5"/>
    </row>
    <row r="146" spans="1:256" ht="15.6" x14ac:dyDescent="0.3">
      <c r="A146" s="262"/>
      <c r="B146" s="263" t="s">
        <v>264</v>
      </c>
      <c r="C146" s="263"/>
      <c r="D146" s="263"/>
      <c r="E146" s="263"/>
      <c r="F146" s="263"/>
      <c r="G146" s="263"/>
      <c r="H146" s="263"/>
      <c r="I146" s="263"/>
      <c r="J146" s="263"/>
      <c r="K146" s="263"/>
      <c r="L146" s="263"/>
      <c r="M146" s="263"/>
      <c r="N146" s="265">
        <f>N98</f>
        <v>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68382</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68382</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+'Aug 12'!N161</f>
        <v>387</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18</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369</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+'Aug 12'!L168</f>
        <v>16765</v>
      </c>
      <c r="M166" s="263"/>
      <c r="N166" s="265">
        <f>K166+L166</f>
        <v>16765</v>
      </c>
      <c r="O166" s="266"/>
      <c r="P166" s="5"/>
    </row>
    <row r="167" spans="1:256" ht="15.6" x14ac:dyDescent="0.3">
      <c r="A167" s="262"/>
      <c r="B167" s="263" t="s">
        <v>58</v>
      </c>
      <c r="C167" s="263"/>
      <c r="D167" s="263"/>
      <c r="E167" s="263"/>
      <c r="F167" s="263"/>
      <c r="G167" s="263"/>
      <c r="H167" s="263"/>
      <c r="I167" s="263"/>
      <c r="J167" s="263"/>
      <c r="K167" s="264">
        <v>0</v>
      </c>
      <c r="L167" s="264">
        <f>-L107</f>
        <v>450</v>
      </c>
      <c r="M167" s="263"/>
      <c r="N167" s="265">
        <f>K167+L167</f>
        <v>450</v>
      </c>
      <c r="O167" s="266"/>
      <c r="P167" s="5"/>
    </row>
    <row r="168" spans="1:256" ht="15.6" x14ac:dyDescent="0.3">
      <c r="A168" s="262"/>
      <c r="B168" s="263" t="s">
        <v>59</v>
      </c>
      <c r="C168" s="263"/>
      <c r="D168" s="263"/>
      <c r="E168" s="263"/>
      <c r="F168" s="263"/>
      <c r="G168" s="263"/>
      <c r="H168" s="263"/>
      <c r="I168" s="263"/>
      <c r="J168" s="263"/>
      <c r="K168" s="265">
        <f>K166+K167</f>
        <v>0</v>
      </c>
      <c r="L168" s="265">
        <f>L167+L166</f>
        <v>17215</v>
      </c>
      <c r="M168" s="263"/>
      <c r="N168" s="265">
        <f>K168+L168</f>
        <v>17215</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5.9870967741935486</v>
      </c>
      <c r="O173" s="266" t="s">
        <v>115</v>
      </c>
      <c r="P173" s="5"/>
    </row>
    <row r="174" spans="1:256" ht="15.6" x14ac:dyDescent="0.3">
      <c r="A174" s="262"/>
      <c r="B174" s="263" t="s">
        <v>63</v>
      </c>
      <c r="C174" s="263"/>
      <c r="D174" s="263"/>
      <c r="E174" s="263"/>
      <c r="F174" s="263"/>
      <c r="G174" s="263"/>
      <c r="H174" s="263"/>
      <c r="I174" s="263"/>
      <c r="J174" s="263"/>
      <c r="K174" s="263"/>
      <c r="L174" s="263"/>
      <c r="M174" s="263"/>
      <c r="N174" s="315">
        <v>2.0099999999999998</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128.83333333333334</v>
      </c>
      <c r="O175" s="266" t="s">
        <v>115</v>
      </c>
      <c r="P175" s="5"/>
    </row>
    <row r="176" spans="1:256" ht="15.6" x14ac:dyDescent="0.3">
      <c r="A176" s="262"/>
      <c r="B176" s="263" t="s">
        <v>65</v>
      </c>
      <c r="C176" s="263"/>
      <c r="D176" s="263"/>
      <c r="E176" s="263"/>
      <c r="F176" s="263"/>
      <c r="G176" s="263"/>
      <c r="H176" s="263"/>
      <c r="I176" s="263"/>
      <c r="J176" s="263"/>
      <c r="K176" s="263"/>
      <c r="L176" s="263"/>
      <c r="M176" s="263"/>
      <c r="N176" s="315">
        <v>44.99</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109.57142857142857</v>
      </c>
      <c r="O177" s="266" t="s">
        <v>115</v>
      </c>
      <c r="P177" s="5"/>
    </row>
    <row r="178" spans="1:16" ht="15.6" x14ac:dyDescent="0.3">
      <c r="A178" s="262"/>
      <c r="B178" s="263" t="s">
        <v>167</v>
      </c>
      <c r="C178" s="263"/>
      <c r="D178" s="263"/>
      <c r="E178" s="263"/>
      <c r="F178" s="263"/>
      <c r="G178" s="263"/>
      <c r="H178" s="263"/>
      <c r="I178" s="263"/>
      <c r="J178" s="263"/>
      <c r="K178" s="263"/>
      <c r="L178" s="263"/>
      <c r="M178" s="263"/>
      <c r="N178" s="315">
        <v>42.47</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NOVEMBER 2012</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41243</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5.2310000000000002E-2</v>
      </c>
      <c r="M188" s="263"/>
      <c r="N188" s="263"/>
      <c r="O188" s="266"/>
      <c r="P188" s="5"/>
    </row>
    <row r="189" spans="1:16" ht="15.6" x14ac:dyDescent="0.3">
      <c r="A189" s="321"/>
      <c r="B189" s="263" t="s">
        <v>212</v>
      </c>
      <c r="C189" s="322"/>
      <c r="D189" s="303"/>
      <c r="E189" s="303"/>
      <c r="F189" s="303"/>
      <c r="G189" s="303"/>
      <c r="H189" s="303"/>
      <c r="I189" s="303"/>
      <c r="J189" s="303"/>
      <c r="K189" s="303"/>
      <c r="L189" s="297">
        <f>N34</f>
        <v>9.0631740768066672E-3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4.3246825923193337E-2</v>
      </c>
      <c r="M190" s="263"/>
      <c r="N190" s="263"/>
      <c r="O190" s="266"/>
      <c r="P190" s="5"/>
    </row>
    <row r="191" spans="1:16" ht="15.6" x14ac:dyDescent="0.3">
      <c r="A191" s="321"/>
      <c r="B191" s="263" t="s">
        <v>203</v>
      </c>
      <c r="C191" s="322"/>
      <c r="D191" s="303"/>
      <c r="E191" s="303"/>
      <c r="F191" s="303"/>
      <c r="G191" s="303"/>
      <c r="H191" s="303"/>
      <c r="I191" s="303"/>
      <c r="J191" s="303"/>
      <c r="K191" s="303"/>
      <c r="L191" s="297">
        <f>+N87/F59</f>
        <v>1.3830443056635128E-2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5</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9.362665193786962E-2</v>
      </c>
      <c r="M197" s="263"/>
      <c r="N197" s="263"/>
      <c r="O197" s="266"/>
      <c r="P197" s="5"/>
    </row>
    <row r="198" spans="1:16" ht="15.6" x14ac:dyDescent="0.3">
      <c r="A198" s="321"/>
      <c r="B198" s="263" t="s">
        <v>74</v>
      </c>
      <c r="C198" s="322"/>
      <c r="D198" s="303"/>
      <c r="E198" s="303"/>
      <c r="F198" s="303"/>
      <c r="G198" s="303"/>
      <c r="H198" s="303"/>
      <c r="I198" s="303"/>
      <c r="J198" s="303"/>
      <c r="K198" s="303"/>
      <c r="L198" s="297">
        <v>0.26340000000000002</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16</v>
      </c>
      <c r="L201" s="331">
        <v>2035</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2</v>
      </c>
      <c r="L203" s="331">
        <f>+L286</f>
        <v>43</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0</v>
      </c>
      <c r="M207" s="291"/>
      <c r="N207" s="337"/>
      <c r="O207" s="342"/>
      <c r="P207" s="5"/>
    </row>
    <row r="208" spans="1:16" ht="15.6" x14ac:dyDescent="0.3">
      <c r="A208" s="330"/>
      <c r="B208" s="263" t="s">
        <v>82</v>
      </c>
      <c r="C208" s="264"/>
      <c r="D208" s="263"/>
      <c r="E208" s="263"/>
      <c r="F208" s="263"/>
      <c r="G208" s="263"/>
      <c r="H208" s="263"/>
      <c r="I208" s="263"/>
      <c r="J208" s="263"/>
      <c r="K208" s="276"/>
      <c r="L208" s="331">
        <f>'Aug 12'!L208+L207</f>
        <v>37</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4</v>
      </c>
      <c r="L210" s="331">
        <v>249</v>
      </c>
      <c r="M210" s="291"/>
      <c r="N210" s="337"/>
      <c r="O210" s="342"/>
      <c r="P210" s="5"/>
    </row>
    <row r="211" spans="1:17" ht="15.6" x14ac:dyDescent="0.3">
      <c r="A211" s="347"/>
      <c r="B211" s="263" t="s">
        <v>83</v>
      </c>
      <c r="C211" s="300"/>
      <c r="D211" s="263"/>
      <c r="E211" s="263"/>
      <c r="F211" s="263"/>
      <c r="G211" s="263"/>
      <c r="H211" s="263"/>
      <c r="I211" s="263"/>
      <c r="J211" s="263"/>
      <c r="K211" s="263"/>
      <c r="L211" s="339">
        <v>11.52</v>
      </c>
      <c r="M211" s="291"/>
      <c r="N211" s="337"/>
      <c r="O211" s="342"/>
      <c r="P211" s="5"/>
    </row>
    <row r="212" spans="1:17" ht="15.6" x14ac:dyDescent="0.3">
      <c r="A212" s="347"/>
      <c r="B212" s="263" t="s">
        <v>84</v>
      </c>
      <c r="C212" s="300"/>
      <c r="D212" s="263"/>
      <c r="E212" s="263"/>
      <c r="F212" s="263"/>
      <c r="G212" s="263"/>
      <c r="H212" s="263"/>
      <c r="I212" s="263"/>
      <c r="J212" s="263"/>
      <c r="K212" s="263"/>
      <c r="L212" s="339">
        <v>4.5599999999999996</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1616</v>
      </c>
      <c r="K221" s="355">
        <f t="shared" ref="K221:K233" si="2">J221/$J$235</f>
        <v>0.94062863795110596</v>
      </c>
      <c r="L221" s="265">
        <f t="shared" ref="L221:L233" si="3">+L238+L255+L272</f>
        <v>62190</v>
      </c>
      <c r="M221" s="355">
        <f t="shared" ref="M221:M233" si="4">L221/$L$235</f>
        <v>0.90944985522505928</v>
      </c>
      <c r="N221" s="332"/>
      <c r="O221" s="356"/>
      <c r="P221" s="5"/>
    </row>
    <row r="222" spans="1:17" ht="15.6" x14ac:dyDescent="0.3">
      <c r="A222" s="262"/>
      <c r="B222" s="264" t="s">
        <v>86</v>
      </c>
      <c r="C222" s="354"/>
      <c r="D222" s="354"/>
      <c r="E222" s="354"/>
      <c r="F222" s="354"/>
      <c r="G222" s="354"/>
      <c r="H222" s="354"/>
      <c r="I222" s="354"/>
      <c r="J222" s="264">
        <f t="shared" si="1"/>
        <v>20</v>
      </c>
      <c r="K222" s="355">
        <f t="shared" si="2"/>
        <v>1.1641443538998836E-2</v>
      </c>
      <c r="L222" s="265">
        <f t="shared" si="3"/>
        <v>1005</v>
      </c>
      <c r="M222" s="355">
        <f t="shared" si="4"/>
        <v>1.4696850048258313E-2</v>
      </c>
      <c r="N222" s="332"/>
      <c r="O222" s="356"/>
      <c r="P222" s="5"/>
      <c r="Q222" s="104"/>
    </row>
    <row r="223" spans="1:17" ht="15.6" x14ac:dyDescent="0.3">
      <c r="A223" s="262"/>
      <c r="B223" s="264" t="s">
        <v>87</v>
      </c>
      <c r="C223" s="354"/>
      <c r="D223" s="354"/>
      <c r="E223" s="354"/>
      <c r="F223" s="354"/>
      <c r="G223" s="354"/>
      <c r="H223" s="354"/>
      <c r="I223" s="354"/>
      <c r="J223" s="264">
        <f t="shared" si="1"/>
        <v>22</v>
      </c>
      <c r="K223" s="355">
        <f t="shared" si="2"/>
        <v>1.2805587892898719E-2</v>
      </c>
      <c r="L223" s="265">
        <f t="shared" si="3"/>
        <v>1194</v>
      </c>
      <c r="M223" s="355">
        <f t="shared" si="4"/>
        <v>1.7460735281214355E-2</v>
      </c>
      <c r="N223" s="332"/>
      <c r="O223" s="356"/>
      <c r="P223" s="5"/>
    </row>
    <row r="224" spans="1:17" ht="15.6" x14ac:dyDescent="0.3">
      <c r="A224" s="262"/>
      <c r="B224" s="264" t="s">
        <v>145</v>
      </c>
      <c r="C224" s="354"/>
      <c r="D224" s="354"/>
      <c r="E224" s="354"/>
      <c r="F224" s="354"/>
      <c r="G224" s="354"/>
      <c r="H224" s="354"/>
      <c r="I224" s="354"/>
      <c r="J224" s="264">
        <f t="shared" si="1"/>
        <v>15</v>
      </c>
      <c r="K224" s="355">
        <f t="shared" si="2"/>
        <v>8.7310826542491265E-3</v>
      </c>
      <c r="L224" s="265">
        <f t="shared" si="3"/>
        <v>892</v>
      </c>
      <c r="M224" s="355">
        <f t="shared" si="4"/>
        <v>1.304436840104121E-2</v>
      </c>
      <c r="N224" s="332"/>
      <c r="O224" s="356"/>
      <c r="P224" s="5"/>
      <c r="Q224" s="104"/>
    </row>
    <row r="225" spans="1:17" ht="15.6" x14ac:dyDescent="0.3">
      <c r="A225" s="262"/>
      <c r="B225" s="264" t="s">
        <v>146</v>
      </c>
      <c r="C225" s="354"/>
      <c r="D225" s="354"/>
      <c r="E225" s="354"/>
      <c r="F225" s="354"/>
      <c r="G225" s="354"/>
      <c r="H225" s="354"/>
      <c r="I225" s="354"/>
      <c r="J225" s="264">
        <f t="shared" si="1"/>
        <v>7</v>
      </c>
      <c r="K225" s="355">
        <f t="shared" si="2"/>
        <v>4.0745052386495922E-3</v>
      </c>
      <c r="L225" s="265">
        <f t="shared" si="3"/>
        <v>249</v>
      </c>
      <c r="M225" s="355">
        <f t="shared" si="4"/>
        <v>3.6413091164341493E-3</v>
      </c>
      <c r="N225" s="332"/>
      <c r="O225" s="356"/>
      <c r="P225" s="5"/>
    </row>
    <row r="226" spans="1:17" ht="15.6" x14ac:dyDescent="0.3">
      <c r="A226" s="262"/>
      <c r="B226" s="264" t="s">
        <v>147</v>
      </c>
      <c r="C226" s="354"/>
      <c r="D226" s="354"/>
      <c r="E226" s="354"/>
      <c r="F226" s="354"/>
      <c r="G226" s="354"/>
      <c r="H226" s="354"/>
      <c r="I226" s="354"/>
      <c r="J226" s="264">
        <f t="shared" si="1"/>
        <v>10</v>
      </c>
      <c r="K226" s="355">
        <f t="shared" si="2"/>
        <v>5.8207217694994182E-3</v>
      </c>
      <c r="L226" s="265">
        <f t="shared" si="3"/>
        <v>372</v>
      </c>
      <c r="M226" s="355">
        <f t="shared" si="4"/>
        <v>5.4400280775642714E-3</v>
      </c>
      <c r="N226" s="332"/>
      <c r="O226" s="356"/>
      <c r="P226" s="5"/>
      <c r="Q226" s="104"/>
    </row>
    <row r="227" spans="1:17" ht="15.6" x14ac:dyDescent="0.3">
      <c r="A227" s="262"/>
      <c r="B227" s="264" t="s">
        <v>227</v>
      </c>
      <c r="C227" s="354"/>
      <c r="D227" s="354"/>
      <c r="E227" s="354"/>
      <c r="F227" s="354"/>
      <c r="G227" s="354"/>
      <c r="H227" s="354"/>
      <c r="I227" s="354"/>
      <c r="J227" s="264">
        <f t="shared" si="1"/>
        <v>12</v>
      </c>
      <c r="K227" s="355">
        <f t="shared" si="2"/>
        <v>6.9848661233993014E-3</v>
      </c>
      <c r="L227" s="265">
        <f t="shared" si="3"/>
        <v>608</v>
      </c>
      <c r="M227" s="355">
        <f t="shared" si="4"/>
        <v>8.891228685911497E-3</v>
      </c>
      <c r="N227" s="332"/>
      <c r="O227" s="356"/>
      <c r="P227" s="5"/>
    </row>
    <row r="228" spans="1:17" ht="15.6" x14ac:dyDescent="0.3">
      <c r="A228" s="262"/>
      <c r="B228" s="264" t="s">
        <v>228</v>
      </c>
      <c r="C228" s="354"/>
      <c r="D228" s="354"/>
      <c r="E228" s="354"/>
      <c r="F228" s="354"/>
      <c r="G228" s="354"/>
      <c r="H228" s="354"/>
      <c r="I228" s="354"/>
      <c r="J228" s="264">
        <f t="shared" si="1"/>
        <v>6</v>
      </c>
      <c r="K228" s="355">
        <f t="shared" si="2"/>
        <v>3.4924330616996507E-3</v>
      </c>
      <c r="L228" s="265">
        <f t="shared" si="3"/>
        <v>344</v>
      </c>
      <c r="M228" s="355">
        <f t="shared" si="4"/>
        <v>5.0305635986078205E-3</v>
      </c>
      <c r="N228" s="332"/>
      <c r="O228" s="356"/>
      <c r="P228" s="5"/>
      <c r="Q228" s="104"/>
    </row>
    <row r="229" spans="1:17" ht="15.6" x14ac:dyDescent="0.3">
      <c r="A229" s="262"/>
      <c r="B229" s="264" t="s">
        <v>229</v>
      </c>
      <c r="C229" s="354"/>
      <c r="D229" s="354"/>
      <c r="E229" s="354"/>
      <c r="F229" s="354"/>
      <c r="G229" s="354"/>
      <c r="H229" s="354"/>
      <c r="I229" s="354"/>
      <c r="J229" s="264">
        <f t="shared" si="1"/>
        <v>1</v>
      </c>
      <c r="K229" s="355">
        <f t="shared" si="2"/>
        <v>5.8207217694994178E-4</v>
      </c>
      <c r="L229" s="265">
        <f t="shared" si="3"/>
        <v>25</v>
      </c>
      <c r="M229" s="355">
        <f t="shared" si="4"/>
        <v>3.6559328478254509E-4</v>
      </c>
      <c r="N229" s="332"/>
      <c r="O229" s="356"/>
      <c r="P229" s="5"/>
      <c r="Q229" s="104"/>
    </row>
    <row r="230" spans="1:17" ht="15.6" x14ac:dyDescent="0.3">
      <c r="A230" s="262"/>
      <c r="B230" s="264" t="s">
        <v>230</v>
      </c>
      <c r="C230" s="354"/>
      <c r="D230" s="354"/>
      <c r="E230" s="354"/>
      <c r="F230" s="354"/>
      <c r="G230" s="354"/>
      <c r="H230" s="354"/>
      <c r="I230" s="354"/>
      <c r="J230" s="264">
        <f t="shared" si="1"/>
        <v>2</v>
      </c>
      <c r="K230" s="355">
        <f t="shared" si="2"/>
        <v>1.1641443538998836E-3</v>
      </c>
      <c r="L230" s="265">
        <f t="shared" si="3"/>
        <v>1101</v>
      </c>
      <c r="M230" s="355">
        <f t="shared" si="4"/>
        <v>1.6100728261823287E-2</v>
      </c>
      <c r="N230" s="332"/>
      <c r="O230" s="356"/>
      <c r="P230" s="5"/>
      <c r="Q230" s="104"/>
    </row>
    <row r="231" spans="1:17" ht="15.6" x14ac:dyDescent="0.3">
      <c r="A231" s="262"/>
      <c r="B231" s="264" t="s">
        <v>231</v>
      </c>
      <c r="C231" s="354"/>
      <c r="D231" s="354"/>
      <c r="E231" s="354"/>
      <c r="F231" s="354"/>
      <c r="G231" s="354"/>
      <c r="H231" s="354"/>
      <c r="I231" s="354"/>
      <c r="J231" s="264">
        <f t="shared" si="1"/>
        <v>3</v>
      </c>
      <c r="K231" s="355">
        <f t="shared" si="2"/>
        <v>1.7462165308498253E-3</v>
      </c>
      <c r="L231" s="265">
        <f t="shared" si="3"/>
        <v>218</v>
      </c>
      <c r="M231" s="355">
        <f t="shared" si="4"/>
        <v>3.1879734433037936E-3</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5.8207217694994178E-4</v>
      </c>
      <c r="L232" s="265">
        <f t="shared" si="3"/>
        <v>45</v>
      </c>
      <c r="M232" s="355">
        <f t="shared" si="4"/>
        <v>6.5806791260858118E-4</v>
      </c>
      <c r="N232" s="332"/>
      <c r="O232" s="356"/>
      <c r="P232" s="5"/>
      <c r="Q232" s="104"/>
    </row>
    <row r="233" spans="1:17" ht="15.6" x14ac:dyDescent="0.3">
      <c r="A233" s="262"/>
      <c r="B233" s="264" t="s">
        <v>233</v>
      </c>
      <c r="C233" s="354"/>
      <c r="D233" s="354"/>
      <c r="E233" s="354"/>
      <c r="F233" s="354"/>
      <c r="G233" s="354"/>
      <c r="H233" s="354"/>
      <c r="I233" s="354"/>
      <c r="J233" s="264">
        <f t="shared" si="1"/>
        <v>3</v>
      </c>
      <c r="K233" s="355">
        <f t="shared" si="2"/>
        <v>1.7462165308498253E-3</v>
      </c>
      <c r="L233" s="265">
        <f t="shared" si="3"/>
        <v>139</v>
      </c>
      <c r="M233" s="355">
        <f t="shared" si="4"/>
        <v>2.032698663390951E-3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1718</v>
      </c>
      <c r="K235" s="355">
        <f>SUM(K221:K234)</f>
        <v>1.0000000000000002</v>
      </c>
      <c r="L235" s="265">
        <f>SUM(L221:L234)</f>
        <v>68382</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1615</v>
      </c>
      <c r="K238" s="355">
        <f t="shared" ref="K238:K250" si="5">J238/$J$252</f>
        <v>0.94114219114219111</v>
      </c>
      <c r="L238" s="265">
        <v>62184</v>
      </c>
      <c r="M238" s="355">
        <f t="shared" ref="M238:M250" si="6">L238/$L$252</f>
        <v>0.9099342981313745</v>
      </c>
      <c r="N238" s="332"/>
      <c r="O238" s="356"/>
      <c r="P238" s="5"/>
    </row>
    <row r="239" spans="1:17" ht="15.6" x14ac:dyDescent="0.3">
      <c r="A239" s="262"/>
      <c r="B239" s="264" t="s">
        <v>86</v>
      </c>
      <c r="C239" s="354"/>
      <c r="D239" s="354"/>
      <c r="E239" s="354"/>
      <c r="F239" s="354"/>
      <c r="G239" s="354"/>
      <c r="H239" s="354"/>
      <c r="I239" s="354"/>
      <c r="J239" s="264">
        <v>20</v>
      </c>
      <c r="K239" s="355">
        <f t="shared" si="5"/>
        <v>1.1655011655011656E-2</v>
      </c>
      <c r="L239" s="265">
        <v>1005</v>
      </c>
      <c r="M239" s="355">
        <f t="shared" si="6"/>
        <v>1.470609754313057E-2</v>
      </c>
      <c r="N239" s="332"/>
      <c r="O239" s="356"/>
      <c r="P239" s="5"/>
      <c r="Q239" s="104"/>
    </row>
    <row r="240" spans="1:17" ht="15.6" x14ac:dyDescent="0.3">
      <c r="A240" s="262"/>
      <c r="B240" s="264" t="s">
        <v>87</v>
      </c>
      <c r="C240" s="354"/>
      <c r="D240" s="354"/>
      <c r="E240" s="354"/>
      <c r="F240" s="354"/>
      <c r="G240" s="354"/>
      <c r="H240" s="354"/>
      <c r="I240" s="354"/>
      <c r="J240" s="264">
        <v>22</v>
      </c>
      <c r="K240" s="355">
        <f t="shared" si="5"/>
        <v>1.282051282051282E-2</v>
      </c>
      <c r="L240" s="265">
        <v>1194</v>
      </c>
      <c r="M240" s="355">
        <f t="shared" si="6"/>
        <v>1.7471721857211842E-2</v>
      </c>
      <c r="N240" s="332"/>
      <c r="O240" s="356"/>
      <c r="P240" s="5"/>
    </row>
    <row r="241" spans="1:17" ht="15.6" x14ac:dyDescent="0.3">
      <c r="A241" s="262"/>
      <c r="B241" s="264" t="s">
        <v>145</v>
      </c>
      <c r="C241" s="354"/>
      <c r="D241" s="354"/>
      <c r="E241" s="354"/>
      <c r="F241" s="354"/>
      <c r="G241" s="354"/>
      <c r="H241" s="354"/>
      <c r="I241" s="354"/>
      <c r="J241" s="264">
        <v>15</v>
      </c>
      <c r="K241" s="355">
        <f t="shared" si="5"/>
        <v>8.7412587412587419E-3</v>
      </c>
      <c r="L241" s="265">
        <v>892</v>
      </c>
      <c r="M241" s="355">
        <f t="shared" si="6"/>
        <v>1.3052576127833301E-2</v>
      </c>
      <c r="N241" s="332"/>
      <c r="O241" s="356"/>
      <c r="P241" s="5"/>
      <c r="Q241" s="104"/>
    </row>
    <row r="242" spans="1:17" ht="15.6" x14ac:dyDescent="0.3">
      <c r="A242" s="262"/>
      <c r="B242" s="264" t="s">
        <v>146</v>
      </c>
      <c r="C242" s="354"/>
      <c r="D242" s="354"/>
      <c r="E242" s="354"/>
      <c r="F242" s="354"/>
      <c r="G242" s="354"/>
      <c r="H242" s="354"/>
      <c r="I242" s="354"/>
      <c r="J242" s="264">
        <v>7</v>
      </c>
      <c r="K242" s="355">
        <f t="shared" si="5"/>
        <v>4.079254079254079E-3</v>
      </c>
      <c r="L242" s="265">
        <v>249</v>
      </c>
      <c r="M242" s="355">
        <f t="shared" si="6"/>
        <v>3.6436002868054846E-3</v>
      </c>
      <c r="N242" s="332"/>
      <c r="O242" s="356"/>
      <c r="P242" s="5"/>
    </row>
    <row r="243" spans="1:17" ht="15.6" x14ac:dyDescent="0.3">
      <c r="A243" s="262"/>
      <c r="B243" s="264" t="s">
        <v>147</v>
      </c>
      <c r="C243" s="354"/>
      <c r="D243" s="354"/>
      <c r="E243" s="354"/>
      <c r="F243" s="354"/>
      <c r="G243" s="354"/>
      <c r="H243" s="354"/>
      <c r="I243" s="354"/>
      <c r="J243" s="264">
        <v>9</v>
      </c>
      <c r="K243" s="355">
        <f t="shared" si="5"/>
        <v>5.244755244755245E-3</v>
      </c>
      <c r="L243" s="265">
        <v>335</v>
      </c>
      <c r="M243" s="355">
        <f t="shared" si="6"/>
        <v>4.9020325143768568E-3</v>
      </c>
      <c r="N243" s="332"/>
      <c r="O243" s="356"/>
      <c r="P243" s="5"/>
      <c r="Q243" s="104"/>
    </row>
    <row r="244" spans="1:17" ht="15.6" x14ac:dyDescent="0.3">
      <c r="A244" s="262"/>
      <c r="B244" s="264" t="s">
        <v>227</v>
      </c>
      <c r="C244" s="354"/>
      <c r="D244" s="354"/>
      <c r="E244" s="354"/>
      <c r="F244" s="354"/>
      <c r="G244" s="354"/>
      <c r="H244" s="354"/>
      <c r="I244" s="354"/>
      <c r="J244" s="264">
        <v>12</v>
      </c>
      <c r="K244" s="355">
        <f t="shared" si="5"/>
        <v>6.993006993006993E-3</v>
      </c>
      <c r="L244" s="265">
        <v>608</v>
      </c>
      <c r="M244" s="355">
        <f t="shared" si="6"/>
        <v>8.8968231902720255E-3</v>
      </c>
      <c r="N244" s="332"/>
      <c r="O244" s="356"/>
      <c r="P244" s="5"/>
    </row>
    <row r="245" spans="1:17" ht="15.6" x14ac:dyDescent="0.3">
      <c r="A245" s="262"/>
      <c r="B245" s="264" t="s">
        <v>228</v>
      </c>
      <c r="C245" s="354"/>
      <c r="D245" s="354"/>
      <c r="E245" s="354"/>
      <c r="F245" s="354"/>
      <c r="G245" s="354"/>
      <c r="H245" s="354"/>
      <c r="I245" s="354"/>
      <c r="J245" s="264">
        <v>6</v>
      </c>
      <c r="K245" s="355">
        <f t="shared" si="5"/>
        <v>3.4965034965034965E-3</v>
      </c>
      <c r="L245" s="265">
        <v>344</v>
      </c>
      <c r="M245" s="355">
        <f t="shared" si="6"/>
        <v>5.0337289102854888E-3</v>
      </c>
      <c r="N245" s="332"/>
      <c r="O245" s="356"/>
      <c r="P245" s="5"/>
      <c r="Q245" s="104"/>
    </row>
    <row r="246" spans="1:17" ht="15.6" x14ac:dyDescent="0.3">
      <c r="A246" s="262"/>
      <c r="B246" s="264" t="s">
        <v>229</v>
      </c>
      <c r="C246" s="354"/>
      <c r="D246" s="354"/>
      <c r="E246" s="354"/>
      <c r="F246" s="354"/>
      <c r="G246" s="354"/>
      <c r="H246" s="354"/>
      <c r="I246" s="354"/>
      <c r="J246" s="264">
        <v>1</v>
      </c>
      <c r="K246" s="355">
        <f t="shared" si="5"/>
        <v>5.8275058275058275E-4</v>
      </c>
      <c r="L246" s="265">
        <v>25</v>
      </c>
      <c r="M246" s="355">
        <f t="shared" si="6"/>
        <v>3.6582332196842212E-4</v>
      </c>
      <c r="N246" s="332"/>
      <c r="O246" s="356"/>
      <c r="P246" s="5"/>
      <c r="Q246" s="104"/>
    </row>
    <row r="247" spans="1:17" ht="15.6" x14ac:dyDescent="0.3">
      <c r="A247" s="262"/>
      <c r="B247" s="264" t="s">
        <v>230</v>
      </c>
      <c r="C247" s="354"/>
      <c r="D247" s="354"/>
      <c r="E247" s="354"/>
      <c r="F247" s="354"/>
      <c r="G247" s="354"/>
      <c r="H247" s="354"/>
      <c r="I247" s="354"/>
      <c r="J247" s="264">
        <v>2</v>
      </c>
      <c r="K247" s="355">
        <f t="shared" si="5"/>
        <v>1.1655011655011655E-3</v>
      </c>
      <c r="L247" s="265">
        <v>1101</v>
      </c>
      <c r="M247" s="355">
        <f t="shared" si="6"/>
        <v>1.6110859099489311E-2</v>
      </c>
      <c r="N247" s="332"/>
      <c r="O247" s="356"/>
      <c r="P247" s="5"/>
      <c r="Q247" s="104"/>
    </row>
    <row r="248" spans="1:17" ht="15.6" x14ac:dyDescent="0.3">
      <c r="A248" s="262"/>
      <c r="B248" s="264" t="s">
        <v>231</v>
      </c>
      <c r="C248" s="354"/>
      <c r="D248" s="354"/>
      <c r="E248" s="354"/>
      <c r="F248" s="354"/>
      <c r="G248" s="354"/>
      <c r="H248" s="354"/>
      <c r="I248" s="354"/>
      <c r="J248" s="264">
        <v>3</v>
      </c>
      <c r="K248" s="355">
        <f t="shared" si="5"/>
        <v>1.7482517482517483E-3</v>
      </c>
      <c r="L248" s="265">
        <v>218</v>
      </c>
      <c r="M248" s="355">
        <f t="shared" si="6"/>
        <v>3.189979367564641E-3</v>
      </c>
      <c r="N248" s="332"/>
      <c r="O248" s="356"/>
      <c r="P248" s="5"/>
      <c r="Q248" s="104"/>
    </row>
    <row r="249" spans="1:17" ht="15.6" x14ac:dyDescent="0.3">
      <c r="A249" s="262"/>
      <c r="B249" s="264" t="s">
        <v>232</v>
      </c>
      <c r="C249" s="354"/>
      <c r="D249" s="354"/>
      <c r="E249" s="354"/>
      <c r="F249" s="354"/>
      <c r="G249" s="354"/>
      <c r="H249" s="354"/>
      <c r="I249" s="354"/>
      <c r="J249" s="264">
        <v>1</v>
      </c>
      <c r="K249" s="355">
        <f t="shared" si="5"/>
        <v>5.8275058275058275E-4</v>
      </c>
      <c r="L249" s="265">
        <v>45</v>
      </c>
      <c r="M249" s="355">
        <f t="shared" si="6"/>
        <v>6.5848197954315984E-4</v>
      </c>
      <c r="N249" s="332"/>
      <c r="O249" s="356"/>
      <c r="P249" s="5"/>
      <c r="Q249" s="104"/>
    </row>
    <row r="250" spans="1:17" ht="15.6" x14ac:dyDescent="0.3">
      <c r="A250" s="262"/>
      <c r="B250" s="264" t="s">
        <v>233</v>
      </c>
      <c r="C250" s="354"/>
      <c r="D250" s="354"/>
      <c r="E250" s="354"/>
      <c r="F250" s="354"/>
      <c r="G250" s="354"/>
      <c r="H250" s="354"/>
      <c r="I250" s="354"/>
      <c r="J250" s="264">
        <v>3</v>
      </c>
      <c r="K250" s="355">
        <f t="shared" si="5"/>
        <v>1.7482517482517483E-3</v>
      </c>
      <c r="L250" s="265">
        <v>139</v>
      </c>
      <c r="M250" s="355">
        <f t="shared" si="6"/>
        <v>2.0339776701444271E-3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1716</v>
      </c>
      <c r="K252" s="355">
        <f>SUM(K238:K251)</f>
        <v>1</v>
      </c>
      <c r="L252" s="265">
        <f>SUM(L238:L251)</f>
        <v>68339</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1</v>
      </c>
      <c r="K272" s="355">
        <f t="shared" ref="K272:K284" si="7">J272/$J$286</f>
        <v>0.5</v>
      </c>
      <c r="L272" s="265">
        <v>6</v>
      </c>
      <c r="M272" s="355">
        <f t="shared" ref="M272:M284" si="8">L272/$L$286</f>
        <v>0.13953488372093023</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1</v>
      </c>
      <c r="K277" s="355">
        <f t="shared" si="7"/>
        <v>0.5</v>
      </c>
      <c r="L277" s="265">
        <v>37</v>
      </c>
      <c r="M277" s="355">
        <f t="shared" si="8"/>
        <v>0.86046511627906974</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2</v>
      </c>
      <c r="K286" s="355">
        <f>SUM(K272:K284)</f>
        <v>1</v>
      </c>
      <c r="L286" s="265">
        <f>SUM(L272:L284)</f>
        <v>43</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1718</v>
      </c>
      <c r="K288" s="355"/>
      <c r="L288" s="359">
        <f>+L286+L269+L252</f>
        <v>68382</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89</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239</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90</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NOVEMBER 2012</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sheetPr>
  <dimension ref="A1:IV299"/>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6.7599999999999993E-2</v>
      </c>
      <c r="L16" s="232" t="s">
        <v>133</v>
      </c>
      <c r="M16" s="231">
        <v>0.93240000000000001</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41355</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64278.479200000002</v>
      </c>
      <c r="E29" s="279"/>
      <c r="F29" s="279">
        <f>F28*F32</f>
        <v>2051.3711699999999</v>
      </c>
      <c r="G29" s="279"/>
      <c r="H29" s="279">
        <f>H28*H32</f>
        <v>2051.3711699999999</v>
      </c>
      <c r="I29" s="279"/>
      <c r="J29" s="284"/>
      <c r="K29" s="279"/>
      <c r="L29" s="279"/>
      <c r="M29" s="280"/>
      <c r="N29" s="279">
        <f>SUM(D29:H29)+1</f>
        <v>68382.221539999999</v>
      </c>
      <c r="O29" s="281"/>
      <c r="P29" s="5"/>
    </row>
    <row r="30" spans="1:16" ht="15.6" x14ac:dyDescent="0.3">
      <c r="A30" s="274"/>
      <c r="B30" s="275" t="s">
        <v>130</v>
      </c>
      <c r="C30" s="278"/>
      <c r="D30" s="285">
        <f>D28*D31</f>
        <v>60070.310100000002</v>
      </c>
      <c r="E30" s="285"/>
      <c r="F30" s="285">
        <f>F28*F31</f>
        <v>1917.0674999999999</v>
      </c>
      <c r="G30" s="285"/>
      <c r="H30" s="285">
        <f>H28*H31</f>
        <v>1917.0674999999999</v>
      </c>
      <c r="I30" s="285"/>
      <c r="J30" s="288"/>
      <c r="K30" s="279"/>
      <c r="L30" s="279"/>
      <c r="M30" s="280"/>
      <c r="N30" s="285">
        <f>SUM(D30:I30)+1</f>
        <v>63905.445099999997</v>
      </c>
      <c r="O30" s="281"/>
      <c r="P30" s="5"/>
    </row>
    <row r="31" spans="1:16" ht="15.6" x14ac:dyDescent="0.3">
      <c r="A31" s="262"/>
      <c r="B31" s="290" t="s">
        <v>126</v>
      </c>
      <c r="C31" s="291"/>
      <c r="D31" s="292">
        <v>0.2305962</v>
      </c>
      <c r="E31" s="292"/>
      <c r="F31" s="292">
        <v>0.47334999999999999</v>
      </c>
      <c r="G31" s="292"/>
      <c r="H31" s="292">
        <v>0.47334999999999999</v>
      </c>
      <c r="I31" s="293"/>
      <c r="J31" s="293"/>
      <c r="K31" s="294"/>
      <c r="L31" s="294"/>
      <c r="M31" s="269"/>
      <c r="N31" s="269"/>
      <c r="O31" s="270"/>
      <c r="P31" s="5"/>
    </row>
    <row r="32" spans="1:16" ht="15.6" x14ac:dyDescent="0.3">
      <c r="A32" s="262"/>
      <c r="B32" s="290" t="s">
        <v>127</v>
      </c>
      <c r="C32" s="291"/>
      <c r="D32" s="292">
        <v>0.24675040000000001</v>
      </c>
      <c r="E32" s="292"/>
      <c r="F32" s="292">
        <v>0.50651139999999995</v>
      </c>
      <c r="G32" s="292"/>
      <c r="H32" s="292">
        <v>0.50651139999999995</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7.5874999999999996E-3</v>
      </c>
      <c r="E34" s="297"/>
      <c r="F34" s="298">
        <v>8.7875000000000002E-3</v>
      </c>
      <c r="G34" s="297"/>
      <c r="H34" s="298">
        <v>1.07875E-2</v>
      </c>
      <c r="I34" s="297"/>
      <c r="J34" s="298"/>
      <c r="K34" s="297"/>
      <c r="L34" s="298"/>
      <c r="M34" s="268"/>
      <c r="N34" s="297">
        <f>SUMPRODUCT(D34:H34,D29:H29)/N29</f>
        <v>7.7193828994569103E-3</v>
      </c>
      <c r="O34" s="266"/>
      <c r="P34" s="5"/>
    </row>
    <row r="35" spans="1:17" ht="15.6" x14ac:dyDescent="0.3">
      <c r="A35" s="274"/>
      <c r="B35" s="263" t="s">
        <v>11</v>
      </c>
      <c r="C35" s="263"/>
      <c r="D35" s="298">
        <v>8.9312999999999997E-3</v>
      </c>
      <c r="E35" s="297"/>
      <c r="F35" s="298">
        <v>1.0131299999999999E-2</v>
      </c>
      <c r="G35" s="297"/>
      <c r="H35" s="298">
        <v>1.2131299999999999E-2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6.3827454754557686E-2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41348</v>
      </c>
      <c r="O45" s="266"/>
      <c r="P45" s="5"/>
    </row>
    <row r="46" spans="1:17" ht="15.6" x14ac:dyDescent="0.3">
      <c r="A46" s="274"/>
      <c r="B46" s="263" t="s">
        <v>119</v>
      </c>
      <c r="C46" s="263"/>
      <c r="D46" s="305"/>
      <c r="E46" s="305"/>
      <c r="F46" s="305"/>
      <c r="G46" s="305"/>
      <c r="H46" s="305"/>
      <c r="I46" s="305"/>
      <c r="J46" s="263">
        <f>+N46-L46+1</f>
        <v>91</v>
      </c>
      <c r="K46" s="305"/>
      <c r="L46" s="306">
        <v>41169</v>
      </c>
      <c r="M46" s="307"/>
      <c r="N46" s="306">
        <v>41259</v>
      </c>
      <c r="O46" s="266"/>
      <c r="P46" s="5"/>
    </row>
    <row r="47" spans="1:17" ht="15.6" x14ac:dyDescent="0.3">
      <c r="A47" s="274"/>
      <c r="B47" s="263" t="s">
        <v>120</v>
      </c>
      <c r="C47" s="263"/>
      <c r="D47" s="263"/>
      <c r="E47" s="263"/>
      <c r="F47" s="263"/>
      <c r="G47" s="263"/>
      <c r="H47" s="263"/>
      <c r="I47" s="263"/>
      <c r="J47" s="263">
        <f>+N47-L47+1</f>
        <v>88</v>
      </c>
      <c r="K47" s="263"/>
      <c r="L47" s="306">
        <v>41260</v>
      </c>
      <c r="M47" s="307"/>
      <c r="N47" s="306">
        <v>41347</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41334</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270</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68382</v>
      </c>
      <c r="G56" s="264"/>
      <c r="H56" s="264">
        <f>4477+784+280</f>
        <v>5541</v>
      </c>
      <c r="I56" s="264"/>
      <c r="J56" s="264">
        <f>784+280</f>
        <v>1064</v>
      </c>
      <c r="K56" s="264"/>
      <c r="L56" s="264">
        <v>0</v>
      </c>
      <c r="M56" s="264"/>
      <c r="N56" s="265">
        <f>+F56-H56+J56-L56</f>
        <v>63905</v>
      </c>
      <c r="O56" s="266"/>
      <c r="P56" s="5"/>
    </row>
    <row r="57" spans="1:16" ht="15.6" x14ac:dyDescent="0.3">
      <c r="A57" s="262"/>
      <c r="B57" s="263" t="s">
        <v>209</v>
      </c>
      <c r="C57" s="264"/>
      <c r="D57" s="264">
        <v>756</v>
      </c>
      <c r="E57" s="264"/>
      <c r="F57" s="265">
        <v>369</v>
      </c>
      <c r="G57" s="264"/>
      <c r="H57" s="264">
        <v>6</v>
      </c>
      <c r="I57" s="264"/>
      <c r="J57" s="264">
        <v>0</v>
      </c>
      <c r="K57" s="264"/>
      <c r="L57" s="264">
        <v>0</v>
      </c>
      <c r="M57" s="264"/>
      <c r="N57" s="265">
        <f>+F57-H57</f>
        <v>363</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68751</v>
      </c>
      <c r="G59" s="264"/>
      <c r="H59" s="264">
        <f>SUM(H56:H58)</f>
        <v>5547</v>
      </c>
      <c r="I59" s="264"/>
      <c r="J59" s="264">
        <f>SUM(J56:J58)</f>
        <v>1064</v>
      </c>
      <c r="K59" s="264"/>
      <c r="L59" s="264">
        <f>SUM(L56:L58)</f>
        <v>0</v>
      </c>
      <c r="M59" s="264"/>
      <c r="N59" s="264">
        <f>SUM(N56:N58)</f>
        <v>64268</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-369</v>
      </c>
      <c r="G68" s="264"/>
      <c r="H68" s="264"/>
      <c r="I68" s="264"/>
      <c r="J68" s="264"/>
      <c r="K68" s="264"/>
      <c r="L68" s="264"/>
      <c r="M68" s="264"/>
      <c r="N68" s="265">
        <f>-N57</f>
        <v>-363</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68382</v>
      </c>
      <c r="G72" s="264"/>
      <c r="H72" s="264"/>
      <c r="I72" s="264"/>
      <c r="J72" s="264"/>
      <c r="K72" s="264"/>
      <c r="L72" s="264"/>
      <c r="M72" s="264"/>
      <c r="N72" s="264">
        <f>SUM(N59:N71)</f>
        <v>63905</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41333</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5541-11</f>
        <v>5530</v>
      </c>
      <c r="M77" s="263"/>
      <c r="N77" s="265"/>
      <c r="O77" s="266"/>
      <c r="P77" s="5"/>
    </row>
    <row r="78" spans="1:16" ht="15.6" x14ac:dyDescent="0.3">
      <c r="A78" s="262"/>
      <c r="B78" s="263" t="s">
        <v>176</v>
      </c>
      <c r="C78" s="263"/>
      <c r="D78" s="300"/>
      <c r="E78" s="263"/>
      <c r="F78" s="309"/>
      <c r="G78" s="263"/>
      <c r="H78" s="263"/>
      <c r="I78" s="263"/>
      <c r="J78" s="263"/>
      <c r="K78" s="263"/>
      <c r="L78" s="264"/>
      <c r="M78" s="263"/>
      <c r="N78" s="265">
        <f>1412+223+1815-1822-176-1270</f>
        <v>182</v>
      </c>
      <c r="O78" s="266"/>
      <c r="P78" s="5"/>
    </row>
    <row r="79" spans="1:16" ht="15.6" x14ac:dyDescent="0.3">
      <c r="A79" s="262"/>
      <c r="B79" s="263" t="s">
        <v>174</v>
      </c>
      <c r="C79" s="263"/>
      <c r="D79" s="300"/>
      <c r="E79" s="263"/>
      <c r="F79" s="309"/>
      <c r="G79" s="263"/>
      <c r="H79" s="263"/>
      <c r="I79" s="263"/>
      <c r="J79" s="263"/>
      <c r="K79" s="263"/>
      <c r="L79" s="264"/>
      <c r="M79" s="263"/>
      <c r="N79" s="265">
        <f>53+2+25</f>
        <v>80</v>
      </c>
      <c r="O79" s="266"/>
      <c r="P79" s="5"/>
    </row>
    <row r="80" spans="1:16" ht="15.6" x14ac:dyDescent="0.3">
      <c r="A80" s="262"/>
      <c r="B80" s="263" t="s">
        <v>175</v>
      </c>
      <c r="C80" s="263"/>
      <c r="D80" s="300"/>
      <c r="E80" s="263"/>
      <c r="F80" s="309"/>
      <c r="G80" s="263"/>
      <c r="H80" s="263"/>
      <c r="I80" s="263"/>
      <c r="J80" s="263"/>
      <c r="K80" s="263"/>
      <c r="L80" s="264"/>
      <c r="M80" s="263"/>
      <c r="N80" s="265">
        <v>5</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5530</v>
      </c>
      <c r="M83" s="263"/>
      <c r="N83" s="264">
        <f>SUM(N76:N82)</f>
        <v>267</v>
      </c>
      <c r="O83" s="266"/>
      <c r="P83" s="5"/>
    </row>
    <row r="84" spans="1:17" ht="15.6" x14ac:dyDescent="0.3">
      <c r="A84" s="262"/>
      <c r="B84" s="263" t="s">
        <v>148</v>
      </c>
      <c r="C84" s="263"/>
      <c r="D84" s="263"/>
      <c r="E84" s="263"/>
      <c r="F84" s="263"/>
      <c r="G84" s="263"/>
      <c r="H84" s="263"/>
      <c r="I84" s="263"/>
      <c r="J84" s="263"/>
      <c r="K84" s="263"/>
      <c r="L84" s="264">
        <v>-784</v>
      </c>
      <c r="M84" s="263"/>
      <c r="N84" s="264">
        <f>-L84</f>
        <v>784</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4746</v>
      </c>
      <c r="M87" s="263"/>
      <c r="N87" s="264">
        <f>N83+N85+N84+N86</f>
        <v>1051</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-26-1-61</f>
        <v>-88</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-118</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-5</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11</v>
      </c>
      <c r="M98" s="263"/>
      <c r="N98" s="265">
        <v>-11</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-25</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-790</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-280</v>
      </c>
      <c r="M107" s="264"/>
      <c r="N107" s="265"/>
      <c r="O107" s="266"/>
      <c r="P107" s="5"/>
    </row>
    <row r="108" spans="1:16" ht="15.6" x14ac:dyDescent="0.3">
      <c r="A108" s="274"/>
      <c r="B108" s="263" t="s">
        <v>200</v>
      </c>
      <c r="C108" s="263"/>
      <c r="D108" s="263"/>
      <c r="E108" s="263"/>
      <c r="F108" s="263"/>
      <c r="G108" s="263"/>
      <c r="H108" s="263"/>
      <c r="I108" s="263"/>
      <c r="J108" s="263"/>
      <c r="K108" s="263"/>
      <c r="L108" s="264">
        <v>-4209</v>
      </c>
      <c r="M108" s="264"/>
      <c r="N108" s="265"/>
      <c r="O108" s="266"/>
      <c r="P108" s="5"/>
    </row>
    <row r="109" spans="1:16" ht="15.6" x14ac:dyDescent="0.3">
      <c r="A109" s="274"/>
      <c r="B109" s="263" t="s">
        <v>201</v>
      </c>
      <c r="C109" s="263"/>
      <c r="D109" s="263"/>
      <c r="E109" s="263"/>
      <c r="F109" s="263"/>
      <c r="G109" s="263"/>
      <c r="H109" s="263"/>
      <c r="I109" s="263"/>
      <c r="J109" s="263"/>
      <c r="K109" s="263"/>
      <c r="L109" s="264">
        <v>-134</v>
      </c>
      <c r="M109" s="264"/>
      <c r="N109" s="265"/>
      <c r="O109" s="266"/>
      <c r="P109" s="5"/>
    </row>
    <row r="110" spans="1:16" ht="15.6" x14ac:dyDescent="0.3">
      <c r="A110" s="274"/>
      <c r="B110" s="263" t="s">
        <v>202</v>
      </c>
      <c r="C110" s="263"/>
      <c r="D110" s="263"/>
      <c r="E110" s="263"/>
      <c r="F110" s="263"/>
      <c r="G110" s="263"/>
      <c r="H110" s="263"/>
      <c r="I110" s="263"/>
      <c r="J110" s="263"/>
      <c r="K110" s="263"/>
      <c r="L110" s="264">
        <v>-134</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-4757</v>
      </c>
      <c r="M111" s="264"/>
      <c r="N111" s="264">
        <f>SUM(N88:N109)</f>
        <v>-1051</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FEBRUARY 2013</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11</v>
      </c>
      <c r="O144" s="266"/>
      <c r="P144" s="5"/>
    </row>
    <row r="145" spans="1:256" ht="15.6" x14ac:dyDescent="0.3">
      <c r="A145" s="262"/>
      <c r="B145" s="263" t="s">
        <v>51</v>
      </c>
      <c r="C145" s="263"/>
      <c r="D145" s="263"/>
      <c r="E145" s="263"/>
      <c r="F145" s="263"/>
      <c r="G145" s="263"/>
      <c r="H145" s="263"/>
      <c r="I145" s="263"/>
      <c r="J145" s="263"/>
      <c r="K145" s="263"/>
      <c r="L145" s="263"/>
      <c r="M145" s="263"/>
      <c r="N145" s="265">
        <f>+N143+N144</f>
        <v>11</v>
      </c>
      <c r="O145" s="266"/>
      <c r="P145" s="5"/>
    </row>
    <row r="146" spans="1:256" ht="15.6" x14ac:dyDescent="0.3">
      <c r="A146" s="262"/>
      <c r="B146" s="263" t="s">
        <v>264</v>
      </c>
      <c r="C146" s="263"/>
      <c r="D146" s="263"/>
      <c r="E146" s="263"/>
      <c r="F146" s="263"/>
      <c r="G146" s="263"/>
      <c r="H146" s="263"/>
      <c r="I146" s="263"/>
      <c r="J146" s="263"/>
      <c r="K146" s="263"/>
      <c r="L146" s="263"/>
      <c r="M146" s="263"/>
      <c r="N146" s="265">
        <f>N98</f>
        <v>-11</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63905</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63905</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+'Nov 12'!N161</f>
        <v>369</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6</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363</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+'Nov 12'!L168</f>
        <v>17215</v>
      </c>
      <c r="M166" s="263"/>
      <c r="N166" s="265">
        <f>K166+L166</f>
        <v>17215</v>
      </c>
      <c r="O166" s="266"/>
      <c r="P166" s="5"/>
    </row>
    <row r="167" spans="1:256" ht="15.6" x14ac:dyDescent="0.3">
      <c r="A167" s="262"/>
      <c r="B167" s="263" t="s">
        <v>58</v>
      </c>
      <c r="C167" s="263"/>
      <c r="D167" s="263"/>
      <c r="E167" s="263"/>
      <c r="F167" s="263"/>
      <c r="G167" s="263"/>
      <c r="H167" s="263"/>
      <c r="I167" s="263"/>
      <c r="J167" s="263"/>
      <c r="K167" s="264">
        <v>0</v>
      </c>
      <c r="L167" s="264">
        <f>-L107</f>
        <v>280</v>
      </c>
      <c r="M167" s="263"/>
      <c r="N167" s="265">
        <f>K167+L167</f>
        <v>280</v>
      </c>
      <c r="O167" s="266"/>
      <c r="P167" s="5"/>
    </row>
    <row r="168" spans="1:256" ht="15.6" x14ac:dyDescent="0.3">
      <c r="A168" s="262"/>
      <c r="B168" s="263" t="s">
        <v>59</v>
      </c>
      <c r="C168" s="263"/>
      <c r="D168" s="263"/>
      <c r="E168" s="263"/>
      <c r="F168" s="263"/>
      <c r="G168" s="263"/>
      <c r="H168" s="263"/>
      <c r="I168" s="263"/>
      <c r="J168" s="263"/>
      <c r="K168" s="265">
        <f>K166+K167</f>
        <v>0</v>
      </c>
      <c r="L168" s="265">
        <f>L167+L166</f>
        <v>17495</v>
      </c>
      <c r="M168" s="263"/>
      <c r="N168" s="265">
        <f>K168+L168</f>
        <v>17495</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8.1440677966101696</v>
      </c>
      <c r="O173" s="266" t="s">
        <v>115</v>
      </c>
      <c r="P173" s="5"/>
    </row>
    <row r="174" spans="1:256" ht="15.6" x14ac:dyDescent="0.3">
      <c r="A174" s="262"/>
      <c r="B174" s="263" t="s">
        <v>63</v>
      </c>
      <c r="C174" s="263"/>
      <c r="D174" s="263"/>
      <c r="E174" s="263"/>
      <c r="F174" s="263"/>
      <c r="G174" s="263"/>
      <c r="H174" s="263"/>
      <c r="I174" s="263"/>
      <c r="J174" s="263"/>
      <c r="K174" s="263"/>
      <c r="L174" s="263"/>
      <c r="M174" s="263"/>
      <c r="N174" s="315">
        <v>2.04</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210.75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46.02</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167.8</v>
      </c>
      <c r="O177" s="266" t="s">
        <v>115</v>
      </c>
      <c r="P177" s="5"/>
    </row>
    <row r="178" spans="1:16" ht="15.6" x14ac:dyDescent="0.3">
      <c r="A178" s="262"/>
      <c r="B178" s="263" t="s">
        <v>167</v>
      </c>
      <c r="C178" s="263"/>
      <c r="D178" s="263"/>
      <c r="E178" s="263"/>
      <c r="F178" s="263"/>
      <c r="G178" s="263"/>
      <c r="H178" s="263"/>
      <c r="I178" s="263"/>
      <c r="J178" s="263"/>
      <c r="K178" s="263"/>
      <c r="L178" s="263"/>
      <c r="M178" s="263"/>
      <c r="N178" s="315">
        <v>43.4</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FEBRUARY 2013</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41333</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5.1729999999999998E-2</v>
      </c>
      <c r="M188" s="263"/>
      <c r="N188" s="263"/>
      <c r="O188" s="266"/>
      <c r="P188" s="5"/>
    </row>
    <row r="189" spans="1:16" ht="15.6" x14ac:dyDescent="0.3">
      <c r="A189" s="321"/>
      <c r="B189" s="263" t="s">
        <v>212</v>
      </c>
      <c r="C189" s="322"/>
      <c r="D189" s="303"/>
      <c r="E189" s="303"/>
      <c r="F189" s="303"/>
      <c r="G189" s="303"/>
      <c r="H189" s="303"/>
      <c r="I189" s="303"/>
      <c r="J189" s="303"/>
      <c r="K189" s="303"/>
      <c r="L189" s="297">
        <f>N34</f>
        <v>7.7193828994569103E-3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4.401061710054309E-2</v>
      </c>
      <c r="M190" s="263"/>
      <c r="N190" s="263"/>
      <c r="O190" s="266"/>
      <c r="P190" s="5"/>
    </row>
    <row r="191" spans="1:16" ht="15.6" x14ac:dyDescent="0.3">
      <c r="A191" s="321"/>
      <c r="B191" s="263" t="s">
        <v>203</v>
      </c>
      <c r="C191" s="322"/>
      <c r="D191" s="303"/>
      <c r="E191" s="303"/>
      <c r="F191" s="303"/>
      <c r="G191" s="303"/>
      <c r="H191" s="303"/>
      <c r="I191" s="303"/>
      <c r="J191" s="303"/>
      <c r="K191" s="303"/>
      <c r="L191" s="297">
        <f>+N87/F59</f>
        <v>1.5287050370176435E-2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4.97</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8.1030095639203298E-2</v>
      </c>
      <c r="M197" s="263"/>
      <c r="N197" s="263"/>
      <c r="O197" s="266"/>
      <c r="P197" s="5"/>
    </row>
    <row r="198" spans="1:16" ht="15.6" x14ac:dyDescent="0.3">
      <c r="A198" s="321"/>
      <c r="B198" s="263" t="s">
        <v>74</v>
      </c>
      <c r="C198" s="322"/>
      <c r="D198" s="303"/>
      <c r="E198" s="303"/>
      <c r="F198" s="303"/>
      <c r="G198" s="303"/>
      <c r="H198" s="303"/>
      <c r="I198" s="303"/>
      <c r="J198" s="303"/>
      <c r="K198" s="303"/>
      <c r="L198" s="297">
        <v>0.26440000000000002</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12</v>
      </c>
      <c r="L201" s="331">
        <v>1732</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3</v>
      </c>
      <c r="L203" s="331">
        <f>+L286</f>
        <v>106</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11</v>
      </c>
      <c r="M207" s="291"/>
      <c r="N207" s="337"/>
      <c r="O207" s="342"/>
      <c r="P207" s="5"/>
    </row>
    <row r="208" spans="1:16" ht="15.6" x14ac:dyDescent="0.3">
      <c r="A208" s="330"/>
      <c r="B208" s="263" t="s">
        <v>82</v>
      </c>
      <c r="C208" s="264"/>
      <c r="D208" s="263"/>
      <c r="E208" s="263"/>
      <c r="F208" s="263"/>
      <c r="G208" s="263"/>
      <c r="H208" s="263"/>
      <c r="I208" s="263"/>
      <c r="J208" s="263"/>
      <c r="K208" s="276"/>
      <c r="L208" s="331">
        <f>'Nov 12'!L208+L207</f>
        <v>48</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1502</v>
      </c>
      <c r="K221" s="355">
        <f t="shared" ref="K221:K233" si="2">J221/$J$235</f>
        <v>0.93933708567854912</v>
      </c>
      <c r="L221" s="265">
        <f t="shared" ref="L221:L233" si="3">+L238+L255+L272</f>
        <v>57894</v>
      </c>
      <c r="M221" s="355">
        <f t="shared" ref="M221:M233" si="4">L221/$L$235</f>
        <v>0.90593850246459584</v>
      </c>
      <c r="N221" s="332"/>
      <c r="O221" s="356"/>
      <c r="P221" s="5"/>
    </row>
    <row r="222" spans="1:17" ht="15.6" x14ac:dyDescent="0.3">
      <c r="A222" s="262"/>
      <c r="B222" s="264" t="s">
        <v>86</v>
      </c>
      <c r="C222" s="354"/>
      <c r="D222" s="354"/>
      <c r="E222" s="354"/>
      <c r="F222" s="354"/>
      <c r="G222" s="354"/>
      <c r="H222" s="354"/>
      <c r="I222" s="354"/>
      <c r="J222" s="264">
        <f t="shared" si="1"/>
        <v>22</v>
      </c>
      <c r="K222" s="355">
        <f t="shared" si="2"/>
        <v>1.3758599124452783E-2</v>
      </c>
      <c r="L222" s="265">
        <f t="shared" si="3"/>
        <v>1198</v>
      </c>
      <c r="M222" s="355">
        <f t="shared" si="4"/>
        <v>1.8746576950160396E-2</v>
      </c>
      <c r="N222" s="332"/>
      <c r="O222" s="356"/>
      <c r="P222" s="5"/>
      <c r="Q222" s="104"/>
    </row>
    <row r="223" spans="1:17" ht="15.6" x14ac:dyDescent="0.3">
      <c r="A223" s="262"/>
      <c r="B223" s="264" t="s">
        <v>87</v>
      </c>
      <c r="C223" s="354"/>
      <c r="D223" s="354"/>
      <c r="E223" s="354"/>
      <c r="F223" s="354"/>
      <c r="G223" s="354"/>
      <c r="H223" s="354"/>
      <c r="I223" s="354"/>
      <c r="J223" s="264">
        <f t="shared" si="1"/>
        <v>18</v>
      </c>
      <c r="K223" s="355">
        <f t="shared" si="2"/>
        <v>1.125703564727955E-2</v>
      </c>
      <c r="L223" s="265">
        <f t="shared" si="3"/>
        <v>1024</v>
      </c>
      <c r="M223" s="355">
        <f t="shared" si="4"/>
        <v>1.602378530631406E-2</v>
      </c>
      <c r="N223" s="332"/>
      <c r="O223" s="356"/>
      <c r="P223" s="5"/>
    </row>
    <row r="224" spans="1:17" ht="15.6" x14ac:dyDescent="0.3">
      <c r="A224" s="262"/>
      <c r="B224" s="264" t="s">
        <v>145</v>
      </c>
      <c r="C224" s="354"/>
      <c r="D224" s="354"/>
      <c r="E224" s="354"/>
      <c r="F224" s="354"/>
      <c r="G224" s="354"/>
      <c r="H224" s="354"/>
      <c r="I224" s="354"/>
      <c r="J224" s="264">
        <f t="shared" si="1"/>
        <v>10</v>
      </c>
      <c r="K224" s="355">
        <f t="shared" si="2"/>
        <v>6.2539086929330832E-3</v>
      </c>
      <c r="L224" s="265">
        <f t="shared" si="3"/>
        <v>494</v>
      </c>
      <c r="M224" s="355">
        <f t="shared" si="4"/>
        <v>7.7302245520694778E-3</v>
      </c>
      <c r="N224" s="332"/>
      <c r="O224" s="356"/>
      <c r="P224" s="5"/>
      <c r="Q224" s="104"/>
    </row>
    <row r="225" spans="1:17" ht="15.6" x14ac:dyDescent="0.3">
      <c r="A225" s="262"/>
      <c r="B225" s="264" t="s">
        <v>146</v>
      </c>
      <c r="C225" s="354"/>
      <c r="D225" s="354"/>
      <c r="E225" s="354"/>
      <c r="F225" s="354"/>
      <c r="G225" s="354"/>
      <c r="H225" s="354"/>
      <c r="I225" s="354"/>
      <c r="J225" s="264">
        <f t="shared" si="1"/>
        <v>10</v>
      </c>
      <c r="K225" s="355">
        <f t="shared" si="2"/>
        <v>6.2539086929330832E-3</v>
      </c>
      <c r="L225" s="265">
        <f t="shared" si="3"/>
        <v>517</v>
      </c>
      <c r="M225" s="355">
        <f t="shared" si="4"/>
        <v>8.0901337923480164E-3</v>
      </c>
      <c r="N225" s="332"/>
      <c r="O225" s="356"/>
      <c r="P225" s="5"/>
    </row>
    <row r="226" spans="1:17" ht="15.6" x14ac:dyDescent="0.3">
      <c r="A226" s="262"/>
      <c r="B226" s="264" t="s">
        <v>147</v>
      </c>
      <c r="C226" s="354"/>
      <c r="D226" s="354"/>
      <c r="E226" s="354"/>
      <c r="F226" s="354"/>
      <c r="G226" s="354"/>
      <c r="H226" s="354"/>
      <c r="I226" s="354"/>
      <c r="J226" s="264">
        <f t="shared" si="1"/>
        <v>7</v>
      </c>
      <c r="K226" s="355">
        <f t="shared" si="2"/>
        <v>4.3777360850531582E-3</v>
      </c>
      <c r="L226" s="265">
        <f t="shared" si="3"/>
        <v>285</v>
      </c>
      <c r="M226" s="355">
        <f t="shared" si="4"/>
        <v>4.4597449338862373E-3</v>
      </c>
      <c r="N226" s="332"/>
      <c r="O226" s="356"/>
      <c r="P226" s="5"/>
      <c r="Q226" s="104"/>
    </row>
    <row r="227" spans="1:17" ht="15.6" x14ac:dyDescent="0.3">
      <c r="A227" s="262"/>
      <c r="B227" s="264" t="s">
        <v>227</v>
      </c>
      <c r="C227" s="354"/>
      <c r="D227" s="354"/>
      <c r="E227" s="354"/>
      <c r="F227" s="354"/>
      <c r="G227" s="354"/>
      <c r="H227" s="354"/>
      <c r="I227" s="354"/>
      <c r="J227" s="264">
        <f t="shared" si="1"/>
        <v>9</v>
      </c>
      <c r="K227" s="355">
        <f t="shared" si="2"/>
        <v>5.6285178236397749E-3</v>
      </c>
      <c r="L227" s="265">
        <f t="shared" si="3"/>
        <v>409</v>
      </c>
      <c r="M227" s="355">
        <f t="shared" si="4"/>
        <v>6.4001251858227057E-3</v>
      </c>
      <c r="N227" s="332"/>
      <c r="O227" s="356"/>
      <c r="P227" s="5"/>
    </row>
    <row r="228" spans="1:17" ht="15.6" x14ac:dyDescent="0.3">
      <c r="A228" s="262"/>
      <c r="B228" s="264" t="s">
        <v>228</v>
      </c>
      <c r="C228" s="354"/>
      <c r="D228" s="354"/>
      <c r="E228" s="354"/>
      <c r="F228" s="354"/>
      <c r="G228" s="354"/>
      <c r="H228" s="354"/>
      <c r="I228" s="354"/>
      <c r="J228" s="264">
        <f t="shared" si="1"/>
        <v>10</v>
      </c>
      <c r="K228" s="355">
        <f t="shared" si="2"/>
        <v>6.2539086929330832E-3</v>
      </c>
      <c r="L228" s="265">
        <f t="shared" si="3"/>
        <v>508</v>
      </c>
      <c r="M228" s="355">
        <f t="shared" si="4"/>
        <v>7.9492997418042412E-3</v>
      </c>
      <c r="N228" s="332"/>
      <c r="O228" s="356"/>
      <c r="P228" s="5"/>
      <c r="Q228" s="104"/>
    </row>
    <row r="229" spans="1:17" ht="15.6" x14ac:dyDescent="0.3">
      <c r="A229" s="262"/>
      <c r="B229" s="264" t="s">
        <v>229</v>
      </c>
      <c r="C229" s="354"/>
      <c r="D229" s="354"/>
      <c r="E229" s="354"/>
      <c r="F229" s="354"/>
      <c r="G229" s="354"/>
      <c r="H229" s="354"/>
      <c r="I229" s="354"/>
      <c r="J229" s="264">
        <f t="shared" si="1"/>
        <v>2</v>
      </c>
      <c r="K229" s="355">
        <f t="shared" si="2"/>
        <v>1.2507817385866166E-3</v>
      </c>
      <c r="L229" s="265">
        <f t="shared" si="3"/>
        <v>49</v>
      </c>
      <c r="M229" s="355">
        <f t="shared" si="4"/>
        <v>7.6676316407166885E-4</v>
      </c>
      <c r="N229" s="332"/>
      <c r="O229" s="356"/>
      <c r="P229" s="5"/>
      <c r="Q229" s="104"/>
    </row>
    <row r="230" spans="1:17" ht="15.6" x14ac:dyDescent="0.3">
      <c r="A230" s="262"/>
      <c r="B230" s="264" t="s">
        <v>230</v>
      </c>
      <c r="C230" s="354"/>
      <c r="D230" s="354"/>
      <c r="E230" s="354"/>
      <c r="F230" s="354"/>
      <c r="G230" s="354"/>
      <c r="H230" s="354"/>
      <c r="I230" s="354"/>
      <c r="J230" s="264">
        <f t="shared" si="1"/>
        <v>2</v>
      </c>
      <c r="K230" s="355">
        <f t="shared" si="2"/>
        <v>1.2507817385866166E-3</v>
      </c>
      <c r="L230" s="265">
        <f t="shared" si="3"/>
        <v>135</v>
      </c>
      <c r="M230" s="355">
        <f t="shared" si="4"/>
        <v>2.1125107581566388E-3</v>
      </c>
      <c r="N230" s="332"/>
      <c r="O230" s="356"/>
      <c r="P230" s="5"/>
      <c r="Q230" s="104"/>
    </row>
    <row r="231" spans="1:17" ht="15.6" x14ac:dyDescent="0.3">
      <c r="A231" s="262"/>
      <c r="B231" s="264" t="s">
        <v>231</v>
      </c>
      <c r="C231" s="354"/>
      <c r="D231" s="354"/>
      <c r="E231" s="354"/>
      <c r="F231" s="354"/>
      <c r="G231" s="354"/>
      <c r="H231" s="354"/>
      <c r="I231" s="354"/>
      <c r="J231" s="264">
        <f t="shared" si="1"/>
        <v>2</v>
      </c>
      <c r="K231" s="355">
        <f t="shared" si="2"/>
        <v>1.2507817385866166E-3</v>
      </c>
      <c r="L231" s="265">
        <f t="shared" si="3"/>
        <v>1124</v>
      </c>
      <c r="M231" s="355">
        <f t="shared" si="4"/>
        <v>1.7588608090133791E-2</v>
      </c>
      <c r="N231" s="332"/>
      <c r="O231" s="356"/>
      <c r="P231" s="5"/>
      <c r="Q231" s="104"/>
    </row>
    <row r="232" spans="1:17" ht="15.6" x14ac:dyDescent="0.3">
      <c r="A232" s="262"/>
      <c r="B232" s="264" t="s">
        <v>232</v>
      </c>
      <c r="C232" s="354"/>
      <c r="D232" s="354"/>
      <c r="E232" s="354"/>
      <c r="F232" s="354"/>
      <c r="G232" s="354"/>
      <c r="H232" s="354"/>
      <c r="I232" s="354"/>
      <c r="J232" s="264">
        <f t="shared" si="1"/>
        <v>3</v>
      </c>
      <c r="K232" s="355">
        <f t="shared" si="2"/>
        <v>1.876172607879925E-3</v>
      </c>
      <c r="L232" s="265">
        <f t="shared" si="3"/>
        <v>129</v>
      </c>
      <c r="M232" s="355">
        <f t="shared" si="4"/>
        <v>2.0186213911274546E-3</v>
      </c>
      <c r="N232" s="332"/>
      <c r="O232" s="356"/>
      <c r="P232" s="5"/>
      <c r="Q232" s="104"/>
    </row>
    <row r="233" spans="1:17" ht="15.6" x14ac:dyDescent="0.3">
      <c r="A233" s="262"/>
      <c r="B233" s="264" t="s">
        <v>233</v>
      </c>
      <c r="C233" s="354"/>
      <c r="D233" s="354"/>
      <c r="E233" s="354"/>
      <c r="F233" s="354"/>
      <c r="G233" s="354"/>
      <c r="H233" s="354"/>
      <c r="I233" s="354"/>
      <c r="J233" s="264">
        <f t="shared" si="1"/>
        <v>2</v>
      </c>
      <c r="K233" s="355">
        <f t="shared" si="2"/>
        <v>1.2507817385866166E-3</v>
      </c>
      <c r="L233" s="265">
        <f t="shared" si="3"/>
        <v>139</v>
      </c>
      <c r="M233" s="355">
        <f t="shared" si="4"/>
        <v>2.1751036695094282E-3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1599</v>
      </c>
      <c r="K235" s="355">
        <f>SUM(K221:K234)</f>
        <v>1.0000000000000002</v>
      </c>
      <c r="L235" s="265">
        <f>SUM(L221:L234)</f>
        <v>63905</v>
      </c>
      <c r="M235" s="355">
        <f>SUM(M221:M234)</f>
        <v>0.99999999999999989</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1501</v>
      </c>
      <c r="K238" s="355">
        <f t="shared" ref="K238:K250" si="5">J238/$J$252</f>
        <v>0.94047619047619047</v>
      </c>
      <c r="L238" s="265">
        <v>57888</v>
      </c>
      <c r="M238" s="355">
        <f t="shared" ref="M238:M250" si="6">L238/$L$252</f>
        <v>0.90734964497876147</v>
      </c>
      <c r="N238" s="332"/>
      <c r="O238" s="356"/>
      <c r="P238" s="5"/>
    </row>
    <row r="239" spans="1:17" ht="15.6" x14ac:dyDescent="0.3">
      <c r="A239" s="262"/>
      <c r="B239" s="264" t="s">
        <v>86</v>
      </c>
      <c r="C239" s="354"/>
      <c r="D239" s="354"/>
      <c r="E239" s="354"/>
      <c r="F239" s="354"/>
      <c r="G239" s="354"/>
      <c r="H239" s="354"/>
      <c r="I239" s="354"/>
      <c r="J239" s="264">
        <v>22</v>
      </c>
      <c r="K239" s="355">
        <f t="shared" si="5"/>
        <v>1.3784461152882205E-2</v>
      </c>
      <c r="L239" s="265">
        <v>1198</v>
      </c>
      <c r="M239" s="355">
        <f t="shared" si="6"/>
        <v>1.8777723788774119E-2</v>
      </c>
      <c r="N239" s="332"/>
      <c r="O239" s="356"/>
      <c r="P239" s="5"/>
      <c r="Q239" s="104"/>
    </row>
    <row r="240" spans="1:17" ht="15.6" x14ac:dyDescent="0.3">
      <c r="A240" s="262"/>
      <c r="B240" s="264" t="s">
        <v>87</v>
      </c>
      <c r="C240" s="354"/>
      <c r="D240" s="354"/>
      <c r="E240" s="354"/>
      <c r="F240" s="354"/>
      <c r="G240" s="354"/>
      <c r="H240" s="354"/>
      <c r="I240" s="354"/>
      <c r="J240" s="264">
        <v>18</v>
      </c>
      <c r="K240" s="355">
        <f t="shared" si="5"/>
        <v>1.1278195488721804E-2</v>
      </c>
      <c r="L240" s="265">
        <v>1024</v>
      </c>
      <c r="M240" s="355">
        <f t="shared" si="6"/>
        <v>1.6050408313609932E-2</v>
      </c>
      <c r="N240" s="332"/>
      <c r="O240" s="356"/>
      <c r="P240" s="5"/>
    </row>
    <row r="241" spans="1:17" ht="15.6" x14ac:dyDescent="0.3">
      <c r="A241" s="262"/>
      <c r="B241" s="264" t="s">
        <v>145</v>
      </c>
      <c r="C241" s="354"/>
      <c r="D241" s="354"/>
      <c r="E241" s="354"/>
      <c r="F241" s="354"/>
      <c r="G241" s="354"/>
      <c r="H241" s="354"/>
      <c r="I241" s="354"/>
      <c r="J241" s="264">
        <v>10</v>
      </c>
      <c r="K241" s="355">
        <f t="shared" si="5"/>
        <v>6.2656641604010022E-3</v>
      </c>
      <c r="L241" s="265">
        <v>494</v>
      </c>
      <c r="M241" s="355">
        <f t="shared" si="6"/>
        <v>7.7430680731672913E-3</v>
      </c>
      <c r="N241" s="332"/>
      <c r="O241" s="356"/>
      <c r="P241" s="5"/>
      <c r="Q241" s="104"/>
    </row>
    <row r="242" spans="1:17" ht="15.6" x14ac:dyDescent="0.3">
      <c r="A242" s="262"/>
      <c r="B242" s="264" t="s">
        <v>146</v>
      </c>
      <c r="C242" s="354"/>
      <c r="D242" s="354"/>
      <c r="E242" s="354"/>
      <c r="F242" s="354"/>
      <c r="G242" s="354"/>
      <c r="H242" s="354"/>
      <c r="I242" s="354"/>
      <c r="J242" s="264">
        <v>10</v>
      </c>
      <c r="K242" s="355">
        <f t="shared" si="5"/>
        <v>6.2656641604010022E-3</v>
      </c>
      <c r="L242" s="265">
        <v>517</v>
      </c>
      <c r="M242" s="355">
        <f t="shared" si="6"/>
        <v>8.1035752911487648E-3</v>
      </c>
      <c r="N242" s="332"/>
      <c r="O242" s="356"/>
      <c r="P242" s="5"/>
    </row>
    <row r="243" spans="1:17" ht="15.6" x14ac:dyDescent="0.3">
      <c r="A243" s="262"/>
      <c r="B243" s="264" t="s">
        <v>147</v>
      </c>
      <c r="C243" s="354"/>
      <c r="D243" s="354"/>
      <c r="E243" s="354"/>
      <c r="F243" s="354"/>
      <c r="G243" s="354"/>
      <c r="H243" s="354"/>
      <c r="I243" s="354"/>
      <c r="J243" s="264">
        <v>7</v>
      </c>
      <c r="K243" s="355">
        <f t="shared" si="5"/>
        <v>4.3859649122807015E-3</v>
      </c>
      <c r="L243" s="265">
        <v>285</v>
      </c>
      <c r="M243" s="355">
        <f t="shared" si="6"/>
        <v>4.4671546575965138E-3</v>
      </c>
      <c r="N243" s="332"/>
      <c r="O243" s="356"/>
      <c r="P243" s="5"/>
      <c r="Q243" s="104"/>
    </row>
    <row r="244" spans="1:17" ht="15.6" x14ac:dyDescent="0.3">
      <c r="A244" s="262"/>
      <c r="B244" s="264" t="s">
        <v>227</v>
      </c>
      <c r="C244" s="354"/>
      <c r="D244" s="354"/>
      <c r="E244" s="354"/>
      <c r="F244" s="354"/>
      <c r="G244" s="354"/>
      <c r="H244" s="354"/>
      <c r="I244" s="354"/>
      <c r="J244" s="264">
        <v>8</v>
      </c>
      <c r="K244" s="355">
        <f t="shared" si="5"/>
        <v>5.0125313283208017E-3</v>
      </c>
      <c r="L244" s="265">
        <v>372</v>
      </c>
      <c r="M244" s="355">
        <f t="shared" si="6"/>
        <v>5.830812395178608E-3</v>
      </c>
      <c r="N244" s="332"/>
      <c r="O244" s="356"/>
      <c r="P244" s="5"/>
    </row>
    <row r="245" spans="1:17" ht="15.6" x14ac:dyDescent="0.3">
      <c r="A245" s="262"/>
      <c r="B245" s="264" t="s">
        <v>228</v>
      </c>
      <c r="C245" s="354"/>
      <c r="D245" s="354"/>
      <c r="E245" s="354"/>
      <c r="F245" s="354"/>
      <c r="G245" s="354"/>
      <c r="H245" s="354"/>
      <c r="I245" s="354"/>
      <c r="J245" s="264">
        <v>9</v>
      </c>
      <c r="K245" s="355">
        <f t="shared" si="5"/>
        <v>5.6390977443609019E-3</v>
      </c>
      <c r="L245" s="265">
        <v>445</v>
      </c>
      <c r="M245" s="355">
        <f t="shared" si="6"/>
        <v>6.9750309565980656E-3</v>
      </c>
      <c r="N245" s="332"/>
      <c r="O245" s="356"/>
      <c r="P245" s="5"/>
      <c r="Q245" s="104"/>
    </row>
    <row r="246" spans="1:17" ht="15.6" x14ac:dyDescent="0.3">
      <c r="A246" s="262"/>
      <c r="B246" s="264" t="s">
        <v>229</v>
      </c>
      <c r="C246" s="354"/>
      <c r="D246" s="354"/>
      <c r="E246" s="354"/>
      <c r="F246" s="354"/>
      <c r="G246" s="354"/>
      <c r="H246" s="354"/>
      <c r="I246" s="354"/>
      <c r="J246" s="264">
        <v>2</v>
      </c>
      <c r="K246" s="355">
        <f t="shared" si="5"/>
        <v>1.2531328320802004E-3</v>
      </c>
      <c r="L246" s="265">
        <v>49</v>
      </c>
      <c r="M246" s="355">
        <f t="shared" si="6"/>
        <v>7.6803711656922525E-4</v>
      </c>
      <c r="N246" s="332"/>
      <c r="O246" s="356"/>
      <c r="P246" s="5"/>
      <c r="Q246" s="104"/>
    </row>
    <row r="247" spans="1:17" ht="15.6" x14ac:dyDescent="0.3">
      <c r="A247" s="262"/>
      <c r="B247" s="264" t="s">
        <v>230</v>
      </c>
      <c r="C247" s="354"/>
      <c r="D247" s="354"/>
      <c r="E247" s="354"/>
      <c r="F247" s="354"/>
      <c r="G247" s="354"/>
      <c r="H247" s="354"/>
      <c r="I247" s="354"/>
      <c r="J247" s="264">
        <v>2</v>
      </c>
      <c r="K247" s="355">
        <f t="shared" si="5"/>
        <v>1.2531328320802004E-3</v>
      </c>
      <c r="L247" s="265">
        <v>135</v>
      </c>
      <c r="M247" s="355">
        <f t="shared" si="6"/>
        <v>2.1160206272825594E-3</v>
      </c>
      <c r="N247" s="332"/>
      <c r="O247" s="356"/>
      <c r="P247" s="5"/>
      <c r="Q247" s="104"/>
    </row>
    <row r="248" spans="1:17" ht="15.6" x14ac:dyDescent="0.3">
      <c r="A248" s="262"/>
      <c r="B248" s="264" t="s">
        <v>231</v>
      </c>
      <c r="C248" s="354"/>
      <c r="D248" s="354"/>
      <c r="E248" s="354"/>
      <c r="F248" s="354"/>
      <c r="G248" s="354"/>
      <c r="H248" s="354"/>
      <c r="I248" s="354"/>
      <c r="J248" s="264">
        <v>2</v>
      </c>
      <c r="K248" s="355">
        <f t="shared" si="5"/>
        <v>1.2531328320802004E-3</v>
      </c>
      <c r="L248" s="265">
        <v>1124</v>
      </c>
      <c r="M248" s="355">
        <f t="shared" si="6"/>
        <v>1.76178310004859E-2</v>
      </c>
      <c r="N248" s="332"/>
      <c r="O248" s="356"/>
      <c r="P248" s="5"/>
      <c r="Q248" s="104"/>
    </row>
    <row r="249" spans="1:17" ht="15.6" x14ac:dyDescent="0.3">
      <c r="A249" s="262"/>
      <c r="B249" s="264" t="s">
        <v>232</v>
      </c>
      <c r="C249" s="354"/>
      <c r="D249" s="354"/>
      <c r="E249" s="354"/>
      <c r="F249" s="354"/>
      <c r="G249" s="354"/>
      <c r="H249" s="354"/>
      <c r="I249" s="354"/>
      <c r="J249" s="264">
        <v>3</v>
      </c>
      <c r="K249" s="355">
        <f t="shared" si="5"/>
        <v>1.8796992481203006E-3</v>
      </c>
      <c r="L249" s="265">
        <v>129</v>
      </c>
      <c r="M249" s="355">
        <f t="shared" si="6"/>
        <v>2.0219752660700012E-3</v>
      </c>
      <c r="N249" s="332"/>
      <c r="O249" s="356"/>
      <c r="P249" s="5"/>
      <c r="Q249" s="104"/>
    </row>
    <row r="250" spans="1:17" ht="15.6" x14ac:dyDescent="0.3">
      <c r="A250" s="262"/>
      <c r="B250" s="264" t="s">
        <v>233</v>
      </c>
      <c r="C250" s="354"/>
      <c r="D250" s="354"/>
      <c r="E250" s="354"/>
      <c r="F250" s="354"/>
      <c r="G250" s="354"/>
      <c r="H250" s="354"/>
      <c r="I250" s="354"/>
      <c r="J250" s="264">
        <v>2</v>
      </c>
      <c r="K250" s="355">
        <f t="shared" si="5"/>
        <v>1.2531328320802004E-3</v>
      </c>
      <c r="L250" s="265">
        <v>139</v>
      </c>
      <c r="M250" s="355">
        <f t="shared" si="6"/>
        <v>2.1787175347575982E-3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1596</v>
      </c>
      <c r="K252" s="355">
        <f>SUM(K238:K251)</f>
        <v>0.99999999999999978</v>
      </c>
      <c r="L252" s="265">
        <f>SUM(L238:L251)</f>
        <v>63799</v>
      </c>
      <c r="M252" s="355">
        <f>SUM(M238:M251)</f>
        <v>0.99999999999999989</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1</v>
      </c>
      <c r="K272" s="355">
        <f t="shared" ref="K272:K284" si="7">J272/$J$286</f>
        <v>0.33333333333333331</v>
      </c>
      <c r="L272" s="265">
        <v>6</v>
      </c>
      <c r="M272" s="355">
        <f t="shared" ref="M272:M284" si="8">L272/$L$286</f>
        <v>5.6603773584905662E-2</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1</v>
      </c>
      <c r="K278" s="355">
        <f t="shared" si="7"/>
        <v>0.33333333333333331</v>
      </c>
      <c r="L278" s="265">
        <v>37</v>
      </c>
      <c r="M278" s="355">
        <f t="shared" si="8"/>
        <v>0.34905660377358488</v>
      </c>
      <c r="N278" s="263"/>
      <c r="O278" s="266"/>
      <c r="P278" s="5"/>
    </row>
    <row r="279" spans="1:16" ht="15.6" x14ac:dyDescent="0.3">
      <c r="A279" s="262"/>
      <c r="B279" s="264" t="s">
        <v>228</v>
      </c>
      <c r="C279" s="263"/>
      <c r="D279" s="357"/>
      <c r="E279" s="357"/>
      <c r="F279" s="357"/>
      <c r="G279" s="357"/>
      <c r="H279" s="357"/>
      <c r="I279" s="357"/>
      <c r="J279" s="264">
        <v>1</v>
      </c>
      <c r="K279" s="355">
        <f t="shared" si="7"/>
        <v>0.33333333333333331</v>
      </c>
      <c r="L279" s="265">
        <v>63</v>
      </c>
      <c r="M279" s="355">
        <f t="shared" si="8"/>
        <v>0.59433962264150941</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3</v>
      </c>
      <c r="K286" s="355">
        <f>SUM(K272:K284)</f>
        <v>1</v>
      </c>
      <c r="L286" s="265">
        <f>SUM(L272:L284)</f>
        <v>106</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1599</v>
      </c>
      <c r="K288" s="355"/>
      <c r="L288" s="359">
        <f>+L286+L269+L252</f>
        <v>63905</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89</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239</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90</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FEBRUARY 2013</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sheetPr>
  <dimension ref="A1:IV299"/>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7.0400000000000004E-2</v>
      </c>
      <c r="L16" s="232" t="s">
        <v>133</v>
      </c>
      <c r="M16" s="231">
        <v>0.92959999999999998</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41449</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60070.310100000002</v>
      </c>
      <c r="E29" s="279"/>
      <c r="F29" s="279">
        <f>F28*F32</f>
        <v>1917.0674999999999</v>
      </c>
      <c r="G29" s="279"/>
      <c r="H29" s="279">
        <f>H28*H32</f>
        <v>1917.0674999999999</v>
      </c>
      <c r="I29" s="279"/>
      <c r="J29" s="284"/>
      <c r="K29" s="279"/>
      <c r="L29" s="279"/>
      <c r="M29" s="280"/>
      <c r="N29" s="279">
        <f>SUM(D29:H29)+1</f>
        <v>63905.445099999997</v>
      </c>
      <c r="O29" s="281"/>
      <c r="P29" s="5"/>
    </row>
    <row r="30" spans="1:16" ht="15.6" x14ac:dyDescent="0.3">
      <c r="A30" s="274"/>
      <c r="B30" s="275" t="s">
        <v>130</v>
      </c>
      <c r="C30" s="278"/>
      <c r="D30" s="285">
        <f>D28*D31</f>
        <v>56531.313399999999</v>
      </c>
      <c r="E30" s="285"/>
      <c r="F30" s="285">
        <f>F28*F31</f>
        <v>1804.1202900000001</v>
      </c>
      <c r="G30" s="285"/>
      <c r="H30" s="285">
        <f>H28*H31</f>
        <v>1804.1202900000001</v>
      </c>
      <c r="I30" s="285"/>
      <c r="J30" s="288"/>
      <c r="K30" s="279"/>
      <c r="L30" s="279"/>
      <c r="M30" s="280"/>
      <c r="N30" s="285">
        <f>SUM(D30:I30)</f>
        <v>60139.553979999997</v>
      </c>
      <c r="O30" s="281"/>
      <c r="P30" s="5"/>
    </row>
    <row r="31" spans="1:16" ht="15.6" x14ac:dyDescent="0.3">
      <c r="A31" s="262"/>
      <c r="B31" s="290" t="s">
        <v>126</v>
      </c>
      <c r="C31" s="291"/>
      <c r="D31" s="292">
        <v>0.2170108</v>
      </c>
      <c r="E31" s="292"/>
      <c r="F31" s="292">
        <v>0.44546180000000002</v>
      </c>
      <c r="G31" s="292"/>
      <c r="H31" s="292">
        <v>0.44546180000000002</v>
      </c>
      <c r="I31" s="293"/>
      <c r="J31" s="293"/>
      <c r="K31" s="294"/>
      <c r="L31" s="294"/>
      <c r="M31" s="269"/>
      <c r="N31" s="269"/>
      <c r="O31" s="270"/>
      <c r="P31" s="5"/>
    </row>
    <row r="32" spans="1:16" ht="15.6" x14ac:dyDescent="0.3">
      <c r="A32" s="262"/>
      <c r="B32" s="290" t="s">
        <v>127</v>
      </c>
      <c r="C32" s="291"/>
      <c r="D32" s="292">
        <v>0.2305962</v>
      </c>
      <c r="E32" s="292"/>
      <c r="F32" s="292">
        <v>0.47334999999999999</v>
      </c>
      <c r="G32" s="292"/>
      <c r="H32" s="292">
        <v>0.47334999999999999</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7.4688000000000003E-3</v>
      </c>
      <c r="E34" s="297"/>
      <c r="F34" s="298">
        <v>8.6688000000000008E-3</v>
      </c>
      <c r="G34" s="297"/>
      <c r="H34" s="298">
        <v>1.0668800000000001E-2</v>
      </c>
      <c r="I34" s="297"/>
      <c r="J34" s="298"/>
      <c r="K34" s="297"/>
      <c r="L34" s="298"/>
      <c r="M34" s="268"/>
      <c r="N34" s="297">
        <f>SUMPRODUCT(D34:H34,D29:H29)/N29</f>
        <v>7.6006765276857447E-3</v>
      </c>
      <c r="O34" s="266"/>
      <c r="P34" s="5"/>
    </row>
    <row r="35" spans="1:17" ht="15.6" x14ac:dyDescent="0.3">
      <c r="A35" s="274"/>
      <c r="B35" s="263" t="s">
        <v>11</v>
      </c>
      <c r="C35" s="263"/>
      <c r="D35" s="298">
        <v>7.5874999999999996E-3</v>
      </c>
      <c r="E35" s="297"/>
      <c r="F35" s="298">
        <v>8.7875000000000002E-3</v>
      </c>
      <c r="G35" s="297"/>
      <c r="H35" s="298">
        <v>1.07875E-2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6.3827290805523726E-2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41442</v>
      </c>
      <c r="O45" s="266"/>
      <c r="P45" s="5"/>
    </row>
    <row r="46" spans="1:17" ht="15.6" x14ac:dyDescent="0.3">
      <c r="A46" s="274"/>
      <c r="B46" s="263" t="s">
        <v>119</v>
      </c>
      <c r="C46" s="263"/>
      <c r="D46" s="305"/>
      <c r="E46" s="305"/>
      <c r="F46" s="305"/>
      <c r="G46" s="305"/>
      <c r="H46" s="305"/>
      <c r="I46" s="305"/>
      <c r="J46" s="263">
        <f>+N46-L46+1</f>
        <v>88</v>
      </c>
      <c r="K46" s="305"/>
      <c r="L46" s="306">
        <v>41260</v>
      </c>
      <c r="M46" s="307"/>
      <c r="N46" s="306">
        <v>41347</v>
      </c>
      <c r="O46" s="266"/>
      <c r="P46" s="5"/>
    </row>
    <row r="47" spans="1:17" ht="15.6" x14ac:dyDescent="0.3">
      <c r="A47" s="274"/>
      <c r="B47" s="263" t="s">
        <v>120</v>
      </c>
      <c r="C47" s="263"/>
      <c r="D47" s="263"/>
      <c r="E47" s="263"/>
      <c r="F47" s="263"/>
      <c r="G47" s="263"/>
      <c r="H47" s="263"/>
      <c r="I47" s="263"/>
      <c r="J47" s="263">
        <f>+N47-L47+1</f>
        <v>94</v>
      </c>
      <c r="K47" s="263"/>
      <c r="L47" s="306">
        <v>41348</v>
      </c>
      <c r="M47" s="307"/>
      <c r="N47" s="306">
        <v>41441</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41428</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271</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63905</v>
      </c>
      <c r="G56" s="264"/>
      <c r="H56" s="264">
        <f>3765+578+477</f>
        <v>4820</v>
      </c>
      <c r="I56" s="264"/>
      <c r="J56" s="264">
        <f>578+477</f>
        <v>1055</v>
      </c>
      <c r="K56" s="264"/>
      <c r="L56" s="264">
        <v>0</v>
      </c>
      <c r="M56" s="264"/>
      <c r="N56" s="265">
        <f>+F56-H56+J56-L56</f>
        <v>60140</v>
      </c>
      <c r="O56" s="266"/>
      <c r="P56" s="5"/>
    </row>
    <row r="57" spans="1:16" ht="15.6" x14ac:dyDescent="0.3">
      <c r="A57" s="262"/>
      <c r="B57" s="263" t="s">
        <v>209</v>
      </c>
      <c r="C57" s="264"/>
      <c r="D57" s="264">
        <v>756</v>
      </c>
      <c r="E57" s="264"/>
      <c r="F57" s="265">
        <v>363</v>
      </c>
      <c r="G57" s="264"/>
      <c r="H57" s="264">
        <v>2</v>
      </c>
      <c r="I57" s="264"/>
      <c r="J57" s="264">
        <v>0</v>
      </c>
      <c r="K57" s="264"/>
      <c r="L57" s="264">
        <v>0</v>
      </c>
      <c r="M57" s="264"/>
      <c r="N57" s="265">
        <f>+F57-H57</f>
        <v>361</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64268</v>
      </c>
      <c r="G59" s="264"/>
      <c r="H59" s="264">
        <f>SUM(H56:H58)</f>
        <v>4822</v>
      </c>
      <c r="I59" s="264"/>
      <c r="J59" s="264">
        <f>SUM(J56:J58)</f>
        <v>1055</v>
      </c>
      <c r="K59" s="264"/>
      <c r="L59" s="264">
        <f>SUM(L56:L58)</f>
        <v>0</v>
      </c>
      <c r="M59" s="264"/>
      <c r="N59" s="264">
        <f>SUM(N56:N58)</f>
        <v>60501</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-363</v>
      </c>
      <c r="G68" s="264"/>
      <c r="H68" s="264"/>
      <c r="I68" s="264"/>
      <c r="J68" s="264"/>
      <c r="K68" s="264"/>
      <c r="L68" s="264"/>
      <c r="M68" s="264"/>
      <c r="N68" s="265">
        <f>-N57</f>
        <v>-361</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63905</v>
      </c>
      <c r="G72" s="264"/>
      <c r="H72" s="264"/>
      <c r="I72" s="264"/>
      <c r="J72" s="264"/>
      <c r="K72" s="264"/>
      <c r="L72" s="264"/>
      <c r="M72" s="264"/>
      <c r="N72" s="264">
        <f>SUM(N59:N71)</f>
        <v>60140</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41425</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4820+10</f>
        <v>4830</v>
      </c>
      <c r="M77" s="263"/>
      <c r="N77" s="265"/>
      <c r="O77" s="266"/>
      <c r="P77" s="5"/>
    </row>
    <row r="78" spans="1:16" ht="15.6" x14ac:dyDescent="0.3">
      <c r="A78" s="262"/>
      <c r="B78" s="263" t="s">
        <v>176</v>
      </c>
      <c r="C78" s="263"/>
      <c r="D78" s="300"/>
      <c r="E78" s="263"/>
      <c r="F78" s="309"/>
      <c r="G78" s="263"/>
      <c r="H78" s="263"/>
      <c r="I78" s="263"/>
      <c r="J78" s="263"/>
      <c r="K78" s="263"/>
      <c r="L78" s="264"/>
      <c r="M78" s="263"/>
      <c r="N78" s="265">
        <f>2188+112+1187-2388-65-819</f>
        <v>215</v>
      </c>
      <c r="O78" s="266"/>
      <c r="P78" s="5"/>
    </row>
    <row r="79" spans="1:16" ht="15.6" x14ac:dyDescent="0.3">
      <c r="A79" s="262"/>
      <c r="B79" s="263" t="s">
        <v>174</v>
      </c>
      <c r="C79" s="263"/>
      <c r="D79" s="300"/>
      <c r="E79" s="263"/>
      <c r="F79" s="309"/>
      <c r="G79" s="263"/>
      <c r="H79" s="263"/>
      <c r="I79" s="263"/>
      <c r="J79" s="263"/>
      <c r="K79" s="263"/>
      <c r="L79" s="264"/>
      <c r="M79" s="263"/>
      <c r="N79" s="265">
        <f>56+17</f>
        <v>73</v>
      </c>
      <c r="O79" s="266"/>
      <c r="P79" s="5"/>
    </row>
    <row r="80" spans="1:16" ht="15.6" x14ac:dyDescent="0.3">
      <c r="A80" s="262"/>
      <c r="B80" s="263" t="s">
        <v>175</v>
      </c>
      <c r="C80" s="263"/>
      <c r="D80" s="300"/>
      <c r="E80" s="263"/>
      <c r="F80" s="309"/>
      <c r="G80" s="263"/>
      <c r="H80" s="263"/>
      <c r="I80" s="263"/>
      <c r="J80" s="263"/>
      <c r="K80" s="263"/>
      <c r="L80" s="264"/>
      <c r="M80" s="263"/>
      <c r="N80" s="265">
        <v>4</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4830</v>
      </c>
      <c r="M83" s="263"/>
      <c r="N83" s="264">
        <f>SUM(N76:N82)</f>
        <v>292</v>
      </c>
      <c r="O83" s="266"/>
      <c r="P83" s="5"/>
    </row>
    <row r="84" spans="1:17" ht="15.6" x14ac:dyDescent="0.3">
      <c r="A84" s="262"/>
      <c r="B84" s="263" t="s">
        <v>148</v>
      </c>
      <c r="C84" s="263"/>
      <c r="D84" s="263"/>
      <c r="E84" s="263"/>
      <c r="F84" s="263"/>
      <c r="G84" s="263"/>
      <c r="H84" s="263"/>
      <c r="I84" s="263"/>
      <c r="J84" s="263"/>
      <c r="K84" s="263"/>
      <c r="L84" s="264">
        <v>-578</v>
      </c>
      <c r="M84" s="263"/>
      <c r="N84" s="264">
        <f>-L84</f>
        <v>578</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4252</v>
      </c>
      <c r="M87" s="263"/>
      <c r="N87" s="264">
        <f>N83+N85+N84+N86</f>
        <v>870</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-24-1-70</f>
        <v>-95</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-116</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-5</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-10</v>
      </c>
      <c r="M98" s="263"/>
      <c r="N98" s="265">
        <v>10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-24</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-626</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-477</v>
      </c>
      <c r="M107" s="264"/>
      <c r="N107" s="265"/>
      <c r="O107" s="266"/>
      <c r="P107" s="5"/>
    </row>
    <row r="108" spans="1:16" ht="15.6" x14ac:dyDescent="0.3">
      <c r="A108" s="274"/>
      <c r="B108" s="263" t="s">
        <v>200</v>
      </c>
      <c r="C108" s="263"/>
      <c r="D108" s="263"/>
      <c r="E108" s="263"/>
      <c r="F108" s="263"/>
      <c r="G108" s="263"/>
      <c r="H108" s="263"/>
      <c r="I108" s="263"/>
      <c r="J108" s="263"/>
      <c r="K108" s="263"/>
      <c r="L108" s="264">
        <v>-3539</v>
      </c>
      <c r="M108" s="264"/>
      <c r="N108" s="265"/>
      <c r="O108" s="266"/>
      <c r="P108" s="5"/>
    </row>
    <row r="109" spans="1:16" ht="15.6" x14ac:dyDescent="0.3">
      <c r="A109" s="274"/>
      <c r="B109" s="263" t="s">
        <v>201</v>
      </c>
      <c r="C109" s="263"/>
      <c r="D109" s="263"/>
      <c r="E109" s="263"/>
      <c r="F109" s="263"/>
      <c r="G109" s="263"/>
      <c r="H109" s="263"/>
      <c r="I109" s="263"/>
      <c r="J109" s="263"/>
      <c r="K109" s="263"/>
      <c r="L109" s="264">
        <v>-113</v>
      </c>
      <c r="M109" s="264"/>
      <c r="N109" s="265"/>
      <c r="O109" s="266"/>
      <c r="P109" s="5"/>
    </row>
    <row r="110" spans="1:16" ht="15.6" x14ac:dyDescent="0.3">
      <c r="A110" s="274"/>
      <c r="B110" s="263" t="s">
        <v>202</v>
      </c>
      <c r="C110" s="263"/>
      <c r="D110" s="263"/>
      <c r="E110" s="263"/>
      <c r="F110" s="263"/>
      <c r="G110" s="263"/>
      <c r="H110" s="263"/>
      <c r="I110" s="263"/>
      <c r="J110" s="263"/>
      <c r="K110" s="263"/>
      <c r="L110" s="264">
        <v>-113</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-4242</v>
      </c>
      <c r="M111" s="264"/>
      <c r="N111" s="264">
        <f>SUM(N88:N109)</f>
        <v>-870</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MAY 2013</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-10</v>
      </c>
      <c r="O144" s="266"/>
      <c r="P144" s="5"/>
    </row>
    <row r="145" spans="1:256" ht="15.6" x14ac:dyDescent="0.3">
      <c r="A145" s="262"/>
      <c r="B145" s="263" t="s">
        <v>51</v>
      </c>
      <c r="C145" s="263"/>
      <c r="D145" s="263"/>
      <c r="E145" s="263"/>
      <c r="F145" s="263"/>
      <c r="G145" s="263"/>
      <c r="H145" s="263"/>
      <c r="I145" s="263"/>
      <c r="J145" s="263"/>
      <c r="K145" s="263"/>
      <c r="L145" s="263"/>
      <c r="M145" s="263"/>
      <c r="N145" s="265">
        <f>+N143+N144</f>
        <v>-10</v>
      </c>
      <c r="O145" s="266"/>
      <c r="P145" s="5"/>
    </row>
    <row r="146" spans="1:256" ht="15.6" x14ac:dyDescent="0.3">
      <c r="A146" s="262"/>
      <c r="B146" s="263" t="s">
        <v>264</v>
      </c>
      <c r="C146" s="263"/>
      <c r="D146" s="263"/>
      <c r="E146" s="263"/>
      <c r="F146" s="263"/>
      <c r="G146" s="263"/>
      <c r="H146" s="263"/>
      <c r="I146" s="263"/>
      <c r="J146" s="263"/>
      <c r="K146" s="263"/>
      <c r="L146" s="263"/>
      <c r="M146" s="263"/>
      <c r="N146" s="265">
        <f>N98</f>
        <v>10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60140</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60140</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+'Feb 13'!N161</f>
        <v>363</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2</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361</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+'Feb 13'!L168</f>
        <v>17495</v>
      </c>
      <c r="M166" s="263"/>
      <c r="N166" s="265">
        <f>K166+L166</f>
        <v>17495</v>
      </c>
      <c r="O166" s="266"/>
      <c r="P166" s="5"/>
    </row>
    <row r="167" spans="1:256" ht="15.6" x14ac:dyDescent="0.3">
      <c r="A167" s="262"/>
      <c r="B167" s="263" t="s">
        <v>58</v>
      </c>
      <c r="C167" s="263"/>
      <c r="D167" s="263"/>
      <c r="E167" s="263"/>
      <c r="F167" s="263"/>
      <c r="G167" s="263"/>
      <c r="H167" s="263"/>
      <c r="I167" s="263"/>
      <c r="J167" s="263"/>
      <c r="K167" s="264">
        <v>0</v>
      </c>
      <c r="L167" s="264">
        <f>-L107</f>
        <v>477</v>
      </c>
      <c r="M167" s="263"/>
      <c r="N167" s="265">
        <f>K167+L167</f>
        <v>477</v>
      </c>
      <c r="O167" s="266"/>
      <c r="P167" s="5"/>
    </row>
    <row r="168" spans="1:256" ht="15.6" x14ac:dyDescent="0.3">
      <c r="A168" s="262"/>
      <c r="B168" s="263" t="s">
        <v>59</v>
      </c>
      <c r="C168" s="263"/>
      <c r="D168" s="263"/>
      <c r="E168" s="263"/>
      <c r="F168" s="263"/>
      <c r="G168" s="263"/>
      <c r="H168" s="263"/>
      <c r="I168" s="263"/>
      <c r="J168" s="263"/>
      <c r="K168" s="265">
        <f>K166+K167</f>
        <v>0</v>
      </c>
      <c r="L168" s="265">
        <f>L167+L166</f>
        <v>17972</v>
      </c>
      <c r="M168" s="263"/>
      <c r="N168" s="265">
        <f>K168+L168</f>
        <v>17972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6.6637931034482758</v>
      </c>
      <c r="O173" s="266" t="s">
        <v>115</v>
      </c>
      <c r="P173" s="5"/>
    </row>
    <row r="174" spans="1:256" ht="15.6" x14ac:dyDescent="0.3">
      <c r="A174" s="262"/>
      <c r="B174" s="263" t="s">
        <v>63</v>
      </c>
      <c r="C174" s="263"/>
      <c r="D174" s="263"/>
      <c r="E174" s="263"/>
      <c r="F174" s="263"/>
      <c r="G174" s="263"/>
      <c r="H174" s="263"/>
      <c r="I174" s="263"/>
      <c r="J174" s="263"/>
      <c r="K174" s="263"/>
      <c r="L174" s="263"/>
      <c r="M174" s="263"/>
      <c r="N174" s="315">
        <v>2.06</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164.25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46.74</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130.6</v>
      </c>
      <c r="O177" s="266" t="s">
        <v>115</v>
      </c>
      <c r="P177" s="5"/>
    </row>
    <row r="178" spans="1:16" ht="15.6" x14ac:dyDescent="0.3">
      <c r="A178" s="262"/>
      <c r="B178" s="263" t="s">
        <v>167</v>
      </c>
      <c r="C178" s="263"/>
      <c r="D178" s="263"/>
      <c r="E178" s="263"/>
      <c r="F178" s="263"/>
      <c r="G178" s="263"/>
      <c r="H178" s="263"/>
      <c r="I178" s="263"/>
      <c r="J178" s="263"/>
      <c r="K178" s="263"/>
      <c r="L178" s="263"/>
      <c r="M178" s="263"/>
      <c r="N178" s="315">
        <v>44.05</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MAY 2013</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41425</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5.1520000000000003E-2</v>
      </c>
      <c r="M188" s="263"/>
      <c r="N188" s="263"/>
      <c r="O188" s="266"/>
      <c r="P188" s="5"/>
    </row>
    <row r="189" spans="1:16" ht="15.6" x14ac:dyDescent="0.3">
      <c r="A189" s="321"/>
      <c r="B189" s="263" t="s">
        <v>212</v>
      </c>
      <c r="C189" s="322"/>
      <c r="D189" s="303"/>
      <c r="E189" s="303"/>
      <c r="F189" s="303"/>
      <c r="G189" s="303"/>
      <c r="H189" s="303"/>
      <c r="I189" s="303"/>
      <c r="J189" s="303"/>
      <c r="K189" s="303"/>
      <c r="L189" s="297">
        <f>N34</f>
        <v>7.6006765276857447E-3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4.391932347231426E-2</v>
      </c>
      <c r="M190" s="263"/>
      <c r="N190" s="263"/>
      <c r="O190" s="266"/>
      <c r="P190" s="5"/>
    </row>
    <row r="191" spans="1:16" ht="15.6" x14ac:dyDescent="0.3">
      <c r="A191" s="321"/>
      <c r="B191" s="263" t="s">
        <v>203</v>
      </c>
      <c r="C191" s="322"/>
      <c r="D191" s="303"/>
      <c r="E191" s="303"/>
      <c r="F191" s="303"/>
      <c r="G191" s="303"/>
      <c r="H191" s="303"/>
      <c r="I191" s="303"/>
      <c r="J191" s="303"/>
      <c r="K191" s="303"/>
      <c r="L191" s="297">
        <f>+N87/F59</f>
        <v>1.3537063546399452E-2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4.87</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7.5424458180111106E-2</v>
      </c>
      <c r="M197" s="263"/>
      <c r="N197" s="263"/>
      <c r="O197" s="266"/>
      <c r="P197" s="5"/>
    </row>
    <row r="198" spans="1:16" ht="15.6" x14ac:dyDescent="0.3">
      <c r="A198" s="321"/>
      <c r="B198" s="263" t="s">
        <v>74</v>
      </c>
      <c r="C198" s="322"/>
      <c r="D198" s="303"/>
      <c r="E198" s="303"/>
      <c r="F198" s="303"/>
      <c r="G198" s="303"/>
      <c r="H198" s="303"/>
      <c r="I198" s="303"/>
      <c r="J198" s="303"/>
      <c r="K198" s="303"/>
      <c r="L198" s="297">
        <v>0.2646</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14</v>
      </c>
      <c r="L201" s="331">
        <v>1822</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1</v>
      </c>
      <c r="L203" s="331">
        <f>+L286</f>
        <v>63</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-10</v>
      </c>
      <c r="M207" s="291"/>
      <c r="N207" s="337"/>
      <c r="O207" s="342"/>
      <c r="P207" s="5"/>
    </row>
    <row r="208" spans="1:16" ht="15.6" x14ac:dyDescent="0.3">
      <c r="A208" s="330"/>
      <c r="B208" s="263" t="s">
        <v>82</v>
      </c>
      <c r="C208" s="264"/>
      <c r="D208" s="263"/>
      <c r="E208" s="263"/>
      <c r="F208" s="263"/>
      <c r="G208" s="263"/>
      <c r="H208" s="263"/>
      <c r="I208" s="263"/>
      <c r="J208" s="263"/>
      <c r="K208" s="276"/>
      <c r="L208" s="331">
        <f>'Feb 13'!L208+L207</f>
        <v>38</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2</v>
      </c>
      <c r="L210" s="331">
        <v>43</v>
      </c>
      <c r="M210" s="291"/>
      <c r="N210" s="337"/>
      <c r="O210" s="342"/>
      <c r="P210" s="5"/>
    </row>
    <row r="211" spans="1:17" ht="15.6" x14ac:dyDescent="0.3">
      <c r="A211" s="347"/>
      <c r="B211" s="263" t="s">
        <v>83</v>
      </c>
      <c r="C211" s="300"/>
      <c r="D211" s="263"/>
      <c r="E211" s="263"/>
      <c r="F211" s="263"/>
      <c r="G211" s="263"/>
      <c r="H211" s="263"/>
      <c r="I211" s="263"/>
      <c r="J211" s="263"/>
      <c r="K211" s="263"/>
      <c r="L211" s="339">
        <v>4.3</v>
      </c>
      <c r="M211" s="291"/>
      <c r="N211" s="337"/>
      <c r="O211" s="342"/>
      <c r="P211" s="5"/>
    </row>
    <row r="212" spans="1:17" ht="15.6" x14ac:dyDescent="0.3">
      <c r="A212" s="347"/>
      <c r="B212" s="263" t="s">
        <v>84</v>
      </c>
      <c r="C212" s="300"/>
      <c r="D212" s="263"/>
      <c r="E212" s="263"/>
      <c r="F212" s="263"/>
      <c r="G212" s="263"/>
      <c r="H212" s="263"/>
      <c r="I212" s="263"/>
      <c r="J212" s="263"/>
      <c r="K212" s="263"/>
      <c r="L212" s="339">
        <v>8.34</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1421</v>
      </c>
      <c r="K221" s="355">
        <f t="shared" ref="K221:K233" si="2">J221/$J$235</f>
        <v>0.94230769230769229</v>
      </c>
      <c r="L221" s="265">
        <f t="shared" ref="L221:L233" si="3">+L238+L255+L272</f>
        <v>54623</v>
      </c>
      <c r="M221" s="355">
        <f t="shared" ref="M221:M233" si="4">L221/$L$235</f>
        <v>0.90826405054871961</v>
      </c>
      <c r="N221" s="332"/>
      <c r="O221" s="356"/>
      <c r="P221" s="5"/>
    </row>
    <row r="222" spans="1:17" ht="15.6" x14ac:dyDescent="0.3">
      <c r="A222" s="262"/>
      <c r="B222" s="264" t="s">
        <v>86</v>
      </c>
      <c r="C222" s="354"/>
      <c r="D222" s="354"/>
      <c r="E222" s="354"/>
      <c r="F222" s="354"/>
      <c r="G222" s="354"/>
      <c r="H222" s="354"/>
      <c r="I222" s="354"/>
      <c r="J222" s="264">
        <f t="shared" si="1"/>
        <v>20</v>
      </c>
      <c r="K222" s="355">
        <f t="shared" si="2"/>
        <v>1.3262599469496022E-2</v>
      </c>
      <c r="L222" s="265">
        <f t="shared" si="3"/>
        <v>885</v>
      </c>
      <c r="M222" s="355">
        <f t="shared" si="4"/>
        <v>1.4715663451945461E-2</v>
      </c>
      <c r="N222" s="332"/>
      <c r="O222" s="356"/>
      <c r="P222" s="5"/>
      <c r="Q222" s="104"/>
    </row>
    <row r="223" spans="1:17" ht="15.6" x14ac:dyDescent="0.3">
      <c r="A223" s="262"/>
      <c r="B223" s="264" t="s">
        <v>87</v>
      </c>
      <c r="C223" s="354"/>
      <c r="D223" s="354"/>
      <c r="E223" s="354"/>
      <c r="F223" s="354"/>
      <c r="G223" s="354"/>
      <c r="H223" s="354"/>
      <c r="I223" s="354"/>
      <c r="J223" s="264">
        <f t="shared" si="1"/>
        <v>13</v>
      </c>
      <c r="K223" s="355">
        <f t="shared" si="2"/>
        <v>8.6206896551724137E-3</v>
      </c>
      <c r="L223" s="265">
        <f t="shared" si="3"/>
        <v>742</v>
      </c>
      <c r="M223" s="355">
        <f t="shared" si="4"/>
        <v>1.2337878284003991E-2</v>
      </c>
      <c r="N223" s="332"/>
      <c r="O223" s="356"/>
      <c r="P223" s="5"/>
    </row>
    <row r="224" spans="1:17" ht="15.6" x14ac:dyDescent="0.3">
      <c r="A224" s="262"/>
      <c r="B224" s="264" t="s">
        <v>145</v>
      </c>
      <c r="C224" s="354"/>
      <c r="D224" s="354"/>
      <c r="E224" s="354"/>
      <c r="F224" s="354"/>
      <c r="G224" s="354"/>
      <c r="H224" s="354"/>
      <c r="I224" s="354"/>
      <c r="J224" s="264">
        <f t="shared" si="1"/>
        <v>10</v>
      </c>
      <c r="K224" s="355">
        <f t="shared" si="2"/>
        <v>6.6312997347480109E-3</v>
      </c>
      <c r="L224" s="265">
        <f t="shared" si="3"/>
        <v>674</v>
      </c>
      <c r="M224" s="355">
        <f t="shared" si="4"/>
        <v>1.1207183239108746E-2</v>
      </c>
      <c r="N224" s="332"/>
      <c r="O224" s="356"/>
      <c r="P224" s="5"/>
      <c r="Q224" s="104"/>
    </row>
    <row r="225" spans="1:17" ht="15.6" x14ac:dyDescent="0.3">
      <c r="A225" s="262"/>
      <c r="B225" s="264" t="s">
        <v>146</v>
      </c>
      <c r="C225" s="354"/>
      <c r="D225" s="354"/>
      <c r="E225" s="354"/>
      <c r="F225" s="354"/>
      <c r="G225" s="354"/>
      <c r="H225" s="354"/>
      <c r="I225" s="354"/>
      <c r="J225" s="264">
        <f t="shared" si="1"/>
        <v>6</v>
      </c>
      <c r="K225" s="355">
        <f t="shared" si="2"/>
        <v>3.9787798408488064E-3</v>
      </c>
      <c r="L225" s="265">
        <f t="shared" si="3"/>
        <v>363</v>
      </c>
      <c r="M225" s="355">
        <f t="shared" si="4"/>
        <v>6.0359161955437311E-3</v>
      </c>
      <c r="N225" s="332"/>
      <c r="O225" s="356"/>
      <c r="P225" s="5"/>
    </row>
    <row r="226" spans="1:17" ht="15.6" x14ac:dyDescent="0.3">
      <c r="A226" s="262"/>
      <c r="B226" s="264" t="s">
        <v>147</v>
      </c>
      <c r="C226" s="354"/>
      <c r="D226" s="354"/>
      <c r="E226" s="354"/>
      <c r="F226" s="354"/>
      <c r="G226" s="354"/>
      <c r="H226" s="354"/>
      <c r="I226" s="354"/>
      <c r="J226" s="264">
        <f t="shared" si="1"/>
        <v>7</v>
      </c>
      <c r="K226" s="355">
        <f t="shared" si="2"/>
        <v>4.6419098143236073E-3</v>
      </c>
      <c r="L226" s="265">
        <f t="shared" si="3"/>
        <v>332</v>
      </c>
      <c r="M226" s="355">
        <f t="shared" si="4"/>
        <v>5.520452278017958E-3</v>
      </c>
      <c r="N226" s="332"/>
      <c r="O226" s="356"/>
      <c r="P226" s="5"/>
      <c r="Q226" s="104"/>
    </row>
    <row r="227" spans="1:17" ht="15.6" x14ac:dyDescent="0.3">
      <c r="A227" s="262"/>
      <c r="B227" s="264" t="s">
        <v>227</v>
      </c>
      <c r="C227" s="354"/>
      <c r="D227" s="354"/>
      <c r="E227" s="354"/>
      <c r="F227" s="354"/>
      <c r="G227" s="354"/>
      <c r="H227" s="354"/>
      <c r="I227" s="354"/>
      <c r="J227" s="264">
        <f t="shared" si="1"/>
        <v>8</v>
      </c>
      <c r="K227" s="355">
        <f t="shared" si="2"/>
        <v>5.3050397877984082E-3</v>
      </c>
      <c r="L227" s="265">
        <f t="shared" si="3"/>
        <v>302</v>
      </c>
      <c r="M227" s="355">
        <f t="shared" si="4"/>
        <v>5.0216162287994677E-3</v>
      </c>
      <c r="N227" s="332"/>
      <c r="O227" s="356"/>
      <c r="P227" s="5"/>
    </row>
    <row r="228" spans="1:17" ht="15.6" x14ac:dyDescent="0.3">
      <c r="A228" s="262"/>
      <c r="B228" s="264" t="s">
        <v>228</v>
      </c>
      <c r="C228" s="354"/>
      <c r="D228" s="354"/>
      <c r="E228" s="354"/>
      <c r="F228" s="354"/>
      <c r="G228" s="354"/>
      <c r="H228" s="354"/>
      <c r="I228" s="354"/>
      <c r="J228" s="264">
        <f t="shared" si="1"/>
        <v>9</v>
      </c>
      <c r="K228" s="355">
        <f t="shared" si="2"/>
        <v>5.9681697612732091E-3</v>
      </c>
      <c r="L228" s="265">
        <f t="shared" si="3"/>
        <v>471</v>
      </c>
      <c r="M228" s="355">
        <f t="shared" si="4"/>
        <v>7.8317259727302968E-3</v>
      </c>
      <c r="N228" s="332"/>
      <c r="O228" s="356"/>
      <c r="P228" s="5"/>
      <c r="Q228" s="104"/>
    </row>
    <row r="229" spans="1:17" ht="15.6" x14ac:dyDescent="0.3">
      <c r="A229" s="262"/>
      <c r="B229" s="264" t="s">
        <v>229</v>
      </c>
      <c r="C229" s="354"/>
      <c r="D229" s="354"/>
      <c r="E229" s="354"/>
      <c r="F229" s="354"/>
      <c r="G229" s="354"/>
      <c r="H229" s="354"/>
      <c r="I229" s="354"/>
      <c r="J229" s="264">
        <f t="shared" si="1"/>
        <v>3</v>
      </c>
      <c r="K229" s="355">
        <f t="shared" si="2"/>
        <v>1.9893899204244032E-3</v>
      </c>
      <c r="L229" s="265">
        <f t="shared" si="3"/>
        <v>172</v>
      </c>
      <c r="M229" s="355">
        <f t="shared" si="4"/>
        <v>2.8599933488526771E-3</v>
      </c>
      <c r="N229" s="332"/>
      <c r="O229" s="356"/>
      <c r="P229" s="5"/>
      <c r="Q229" s="104"/>
    </row>
    <row r="230" spans="1:17" ht="15.6" x14ac:dyDescent="0.3">
      <c r="A230" s="262"/>
      <c r="B230" s="264" t="s">
        <v>230</v>
      </c>
      <c r="C230" s="354"/>
      <c r="D230" s="354"/>
      <c r="E230" s="354"/>
      <c r="F230" s="354"/>
      <c r="G230" s="354"/>
      <c r="H230" s="354"/>
      <c r="I230" s="354"/>
      <c r="J230" s="264">
        <f t="shared" si="1"/>
        <v>3</v>
      </c>
      <c r="K230" s="355">
        <f t="shared" si="2"/>
        <v>1.9893899204244032E-3</v>
      </c>
      <c r="L230" s="265">
        <f t="shared" si="3"/>
        <v>176</v>
      </c>
      <c r="M230" s="355">
        <f t="shared" si="4"/>
        <v>2.9265048220818092E-3</v>
      </c>
      <c r="N230" s="332"/>
      <c r="O230" s="356"/>
      <c r="P230" s="5"/>
      <c r="Q230" s="104"/>
    </row>
    <row r="231" spans="1:17" ht="15.6" x14ac:dyDescent="0.3">
      <c r="A231" s="262"/>
      <c r="B231" s="264" t="s">
        <v>231</v>
      </c>
      <c r="C231" s="354"/>
      <c r="D231" s="354"/>
      <c r="E231" s="354"/>
      <c r="F231" s="354"/>
      <c r="G231" s="354"/>
      <c r="H231" s="354"/>
      <c r="I231" s="354"/>
      <c r="J231" s="264">
        <f t="shared" si="1"/>
        <v>2</v>
      </c>
      <c r="K231" s="355">
        <f t="shared" si="2"/>
        <v>1.3262599469496021E-3</v>
      </c>
      <c r="L231" s="265">
        <f t="shared" si="3"/>
        <v>178</v>
      </c>
      <c r="M231" s="355">
        <f t="shared" si="4"/>
        <v>2.9597605586963753E-3</v>
      </c>
      <c r="N231" s="332"/>
      <c r="O231" s="356"/>
      <c r="P231" s="5"/>
      <c r="Q231" s="104"/>
    </row>
    <row r="232" spans="1:17" ht="15.6" x14ac:dyDescent="0.3">
      <c r="A232" s="262"/>
      <c r="B232" s="264" t="s">
        <v>232</v>
      </c>
      <c r="C232" s="354"/>
      <c r="D232" s="354"/>
      <c r="E232" s="354"/>
      <c r="F232" s="354"/>
      <c r="G232" s="354"/>
      <c r="H232" s="354"/>
      <c r="I232" s="354"/>
      <c r="J232" s="264">
        <f t="shared" si="1"/>
        <v>2</v>
      </c>
      <c r="K232" s="355">
        <f t="shared" si="2"/>
        <v>1.3262599469496021E-3</v>
      </c>
      <c r="L232" s="265">
        <f t="shared" si="3"/>
        <v>1016</v>
      </c>
      <c r="M232" s="355">
        <f t="shared" si="4"/>
        <v>1.6893914200199533E-2</v>
      </c>
      <c r="N232" s="332"/>
      <c r="O232" s="356"/>
      <c r="P232" s="5"/>
      <c r="Q232" s="104"/>
    </row>
    <row r="233" spans="1:17" ht="15.6" x14ac:dyDescent="0.3">
      <c r="A233" s="262"/>
      <c r="B233" s="264" t="s">
        <v>233</v>
      </c>
      <c r="C233" s="354"/>
      <c r="D233" s="354"/>
      <c r="E233" s="354"/>
      <c r="F233" s="354"/>
      <c r="G233" s="354"/>
      <c r="H233" s="354"/>
      <c r="I233" s="354"/>
      <c r="J233" s="264">
        <f t="shared" si="1"/>
        <v>4</v>
      </c>
      <c r="K233" s="355">
        <f t="shared" si="2"/>
        <v>2.6525198938992041E-3</v>
      </c>
      <c r="L233" s="265">
        <f t="shared" si="3"/>
        <v>206</v>
      </c>
      <c r="M233" s="355">
        <f t="shared" si="4"/>
        <v>3.4253408713002995E-3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1508</v>
      </c>
      <c r="K235" s="355">
        <f>SUM(K221:K234)</f>
        <v>0.99999999999999989</v>
      </c>
      <c r="L235" s="265">
        <f>SUM(L221:L234)</f>
        <v>60140</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1421</v>
      </c>
      <c r="K238" s="355">
        <f t="shared" ref="K238:K250" si="5">J238/$J$252</f>
        <v>0.94293297942932974</v>
      </c>
      <c r="L238" s="265">
        <v>54623</v>
      </c>
      <c r="M238" s="355">
        <f t="shared" ref="M238:M250" si="6">L238/$L$252</f>
        <v>0.90921650548462807</v>
      </c>
      <c r="N238" s="332"/>
      <c r="O238" s="356"/>
      <c r="P238" s="5"/>
    </row>
    <row r="239" spans="1:17" ht="15.6" x14ac:dyDescent="0.3">
      <c r="A239" s="262"/>
      <c r="B239" s="264" t="s">
        <v>86</v>
      </c>
      <c r="C239" s="354"/>
      <c r="D239" s="354"/>
      <c r="E239" s="354"/>
      <c r="F239" s="354"/>
      <c r="G239" s="354"/>
      <c r="H239" s="354"/>
      <c r="I239" s="354"/>
      <c r="J239" s="264">
        <v>20</v>
      </c>
      <c r="K239" s="355">
        <f t="shared" si="5"/>
        <v>1.3271400132714002E-2</v>
      </c>
      <c r="L239" s="265">
        <v>885</v>
      </c>
      <c r="M239" s="355">
        <f t="shared" si="6"/>
        <v>1.473109509462856E-2</v>
      </c>
      <c r="N239" s="332"/>
      <c r="O239" s="356"/>
      <c r="P239" s="5"/>
      <c r="Q239" s="104"/>
    </row>
    <row r="240" spans="1:17" ht="15.6" x14ac:dyDescent="0.3">
      <c r="A240" s="262"/>
      <c r="B240" s="264" t="s">
        <v>87</v>
      </c>
      <c r="C240" s="354"/>
      <c r="D240" s="354"/>
      <c r="E240" s="354"/>
      <c r="F240" s="354"/>
      <c r="G240" s="354"/>
      <c r="H240" s="354"/>
      <c r="I240" s="354"/>
      <c r="J240" s="264">
        <v>13</v>
      </c>
      <c r="K240" s="355">
        <f t="shared" si="5"/>
        <v>8.6264100862641011E-3</v>
      </c>
      <c r="L240" s="265">
        <v>742</v>
      </c>
      <c r="M240" s="355">
        <f t="shared" si="6"/>
        <v>1.2350816452219651E-2</v>
      </c>
      <c r="N240" s="332"/>
      <c r="O240" s="356"/>
      <c r="P240" s="5"/>
    </row>
    <row r="241" spans="1:17" ht="15.6" x14ac:dyDescent="0.3">
      <c r="A241" s="262"/>
      <c r="B241" s="264" t="s">
        <v>145</v>
      </c>
      <c r="C241" s="354"/>
      <c r="D241" s="354"/>
      <c r="E241" s="354"/>
      <c r="F241" s="354"/>
      <c r="G241" s="354"/>
      <c r="H241" s="354"/>
      <c r="I241" s="354"/>
      <c r="J241" s="264">
        <v>10</v>
      </c>
      <c r="K241" s="355">
        <f t="shared" si="5"/>
        <v>6.6357000663570011E-3</v>
      </c>
      <c r="L241" s="265">
        <v>674</v>
      </c>
      <c r="M241" s="355">
        <f t="shared" si="6"/>
        <v>1.1218935699186045E-2</v>
      </c>
      <c r="N241" s="332"/>
      <c r="O241" s="356"/>
      <c r="P241" s="5"/>
      <c r="Q241" s="104"/>
    </row>
    <row r="242" spans="1:17" ht="15.6" x14ac:dyDescent="0.3">
      <c r="A242" s="262"/>
      <c r="B242" s="264" t="s">
        <v>146</v>
      </c>
      <c r="C242" s="354"/>
      <c r="D242" s="354"/>
      <c r="E242" s="354"/>
      <c r="F242" s="354"/>
      <c r="G242" s="354"/>
      <c r="H242" s="354"/>
      <c r="I242" s="354"/>
      <c r="J242" s="264">
        <v>6</v>
      </c>
      <c r="K242" s="355">
        <f t="shared" si="5"/>
        <v>3.9814200398142008E-3</v>
      </c>
      <c r="L242" s="265">
        <v>363</v>
      </c>
      <c r="M242" s="355">
        <f t="shared" si="6"/>
        <v>6.0422457845764601E-3</v>
      </c>
      <c r="N242" s="332"/>
      <c r="O242" s="356"/>
      <c r="P242" s="5"/>
    </row>
    <row r="243" spans="1:17" ht="15.6" x14ac:dyDescent="0.3">
      <c r="A243" s="262"/>
      <c r="B243" s="264" t="s">
        <v>147</v>
      </c>
      <c r="C243" s="354"/>
      <c r="D243" s="354"/>
      <c r="E243" s="354"/>
      <c r="F243" s="354"/>
      <c r="G243" s="354"/>
      <c r="H243" s="354"/>
      <c r="I243" s="354"/>
      <c r="J243" s="264">
        <v>7</v>
      </c>
      <c r="K243" s="355">
        <f t="shared" si="5"/>
        <v>4.6449900464499002E-3</v>
      </c>
      <c r="L243" s="265">
        <v>332</v>
      </c>
      <c r="M243" s="355">
        <f t="shared" si="6"/>
        <v>5.5262413236346689E-3</v>
      </c>
      <c r="N243" s="332"/>
      <c r="O243" s="356"/>
      <c r="P243" s="5"/>
      <c r="Q243" s="104"/>
    </row>
    <row r="244" spans="1:17" ht="15.6" x14ac:dyDescent="0.3">
      <c r="A244" s="262"/>
      <c r="B244" s="264" t="s">
        <v>227</v>
      </c>
      <c r="C244" s="354"/>
      <c r="D244" s="354"/>
      <c r="E244" s="354"/>
      <c r="F244" s="354"/>
      <c r="G244" s="354"/>
      <c r="H244" s="354"/>
      <c r="I244" s="354"/>
      <c r="J244" s="264">
        <v>8</v>
      </c>
      <c r="K244" s="355">
        <f t="shared" si="5"/>
        <v>5.3085600530856005E-3</v>
      </c>
      <c r="L244" s="265">
        <v>302</v>
      </c>
      <c r="M244" s="355">
        <f t="shared" si="6"/>
        <v>5.0268821678845482E-3</v>
      </c>
      <c r="N244" s="332"/>
      <c r="O244" s="356"/>
      <c r="P244" s="5"/>
    </row>
    <row r="245" spans="1:17" ht="15.6" x14ac:dyDescent="0.3">
      <c r="A245" s="262"/>
      <c r="B245" s="264" t="s">
        <v>228</v>
      </c>
      <c r="C245" s="354"/>
      <c r="D245" s="354"/>
      <c r="E245" s="354"/>
      <c r="F245" s="354"/>
      <c r="G245" s="354"/>
      <c r="H245" s="354"/>
      <c r="I245" s="354"/>
      <c r="J245" s="264">
        <v>9</v>
      </c>
      <c r="K245" s="355">
        <f t="shared" si="5"/>
        <v>5.9721300597213008E-3</v>
      </c>
      <c r="L245" s="265">
        <v>471</v>
      </c>
      <c r="M245" s="355">
        <f t="shared" si="6"/>
        <v>7.8399387452768952E-3</v>
      </c>
      <c r="N245" s="332"/>
      <c r="O245" s="356"/>
      <c r="P245" s="5"/>
      <c r="Q245" s="104"/>
    </row>
    <row r="246" spans="1:17" ht="15.6" x14ac:dyDescent="0.3">
      <c r="A246" s="262"/>
      <c r="B246" s="264" t="s">
        <v>229</v>
      </c>
      <c r="C246" s="354"/>
      <c r="D246" s="354"/>
      <c r="E246" s="354"/>
      <c r="F246" s="354"/>
      <c r="G246" s="354"/>
      <c r="H246" s="354"/>
      <c r="I246" s="354"/>
      <c r="J246" s="264">
        <v>2</v>
      </c>
      <c r="K246" s="355">
        <f t="shared" si="5"/>
        <v>1.3271400132714001E-3</v>
      </c>
      <c r="L246" s="265">
        <v>109</v>
      </c>
      <c r="M246" s="355">
        <f t="shared" si="6"/>
        <v>1.8143382658921052E-3</v>
      </c>
      <c r="N246" s="332"/>
      <c r="O246" s="356"/>
      <c r="P246" s="5"/>
      <c r="Q246" s="104"/>
    </row>
    <row r="247" spans="1:17" ht="15.6" x14ac:dyDescent="0.3">
      <c r="A247" s="262"/>
      <c r="B247" s="264" t="s">
        <v>230</v>
      </c>
      <c r="C247" s="354"/>
      <c r="D247" s="354"/>
      <c r="E247" s="354"/>
      <c r="F247" s="354"/>
      <c r="G247" s="354"/>
      <c r="H247" s="354"/>
      <c r="I247" s="354"/>
      <c r="J247" s="264">
        <v>3</v>
      </c>
      <c r="K247" s="355">
        <f t="shared" si="5"/>
        <v>1.9907100199071004E-3</v>
      </c>
      <c r="L247" s="265">
        <v>176</v>
      </c>
      <c r="M247" s="355">
        <f t="shared" si="6"/>
        <v>2.9295737137340415E-3</v>
      </c>
      <c r="N247" s="332"/>
      <c r="O247" s="356"/>
      <c r="P247" s="5"/>
      <c r="Q247" s="104"/>
    </row>
    <row r="248" spans="1:17" ht="15.6" x14ac:dyDescent="0.3">
      <c r="A248" s="262"/>
      <c r="B248" s="264" t="s">
        <v>231</v>
      </c>
      <c r="C248" s="354"/>
      <c r="D248" s="354"/>
      <c r="E248" s="354"/>
      <c r="F248" s="354"/>
      <c r="G248" s="354"/>
      <c r="H248" s="354"/>
      <c r="I248" s="354"/>
      <c r="J248" s="264">
        <v>2</v>
      </c>
      <c r="K248" s="355">
        <f t="shared" si="5"/>
        <v>1.3271400132714001E-3</v>
      </c>
      <c r="L248" s="265">
        <v>178</v>
      </c>
      <c r="M248" s="355">
        <f t="shared" si="6"/>
        <v>2.9628643241173826E-3</v>
      </c>
      <c r="N248" s="332"/>
      <c r="O248" s="356"/>
      <c r="P248" s="5"/>
      <c r="Q248" s="104"/>
    </row>
    <row r="249" spans="1:17" ht="15.6" x14ac:dyDescent="0.3">
      <c r="A249" s="262"/>
      <c r="B249" s="264" t="s">
        <v>232</v>
      </c>
      <c r="C249" s="354"/>
      <c r="D249" s="354"/>
      <c r="E249" s="354"/>
      <c r="F249" s="354"/>
      <c r="G249" s="354"/>
      <c r="H249" s="354"/>
      <c r="I249" s="354"/>
      <c r="J249" s="264">
        <v>2</v>
      </c>
      <c r="K249" s="355">
        <f t="shared" si="5"/>
        <v>1.3271400132714001E-3</v>
      </c>
      <c r="L249" s="265">
        <v>1016</v>
      </c>
      <c r="M249" s="355">
        <f t="shared" si="6"/>
        <v>1.6911630074737422E-2</v>
      </c>
      <c r="N249" s="332"/>
      <c r="O249" s="356"/>
      <c r="P249" s="5"/>
      <c r="Q249" s="104"/>
    </row>
    <row r="250" spans="1:17" ht="15.6" x14ac:dyDescent="0.3">
      <c r="A250" s="262"/>
      <c r="B250" s="264" t="s">
        <v>233</v>
      </c>
      <c r="C250" s="354"/>
      <c r="D250" s="354"/>
      <c r="E250" s="354"/>
      <c r="F250" s="354"/>
      <c r="G250" s="354"/>
      <c r="H250" s="354"/>
      <c r="I250" s="354"/>
      <c r="J250" s="264">
        <v>4</v>
      </c>
      <c r="K250" s="355">
        <f t="shared" si="5"/>
        <v>2.6542800265428003E-3</v>
      </c>
      <c r="L250" s="265">
        <v>206</v>
      </c>
      <c r="M250" s="355">
        <f t="shared" si="6"/>
        <v>3.4289328694841622E-3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1507</v>
      </c>
      <c r="K252" s="355">
        <f>SUM(K238:K251)</f>
        <v>0.99999999999999989</v>
      </c>
      <c r="L252" s="265">
        <f>SUM(L238:L251)</f>
        <v>60077</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1</v>
      </c>
      <c r="K280" s="355">
        <f t="shared" si="7"/>
        <v>1</v>
      </c>
      <c r="L280" s="265">
        <v>63</v>
      </c>
      <c r="M280" s="355">
        <f t="shared" si="8"/>
        <v>1</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1</v>
      </c>
      <c r="K286" s="355">
        <f>SUM(K272:K284)</f>
        <v>1</v>
      </c>
      <c r="L286" s="265">
        <f>SUM(L272:L284)</f>
        <v>63</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1508</v>
      </c>
      <c r="K288" s="355"/>
      <c r="L288" s="359">
        <f>+L286+L269+L252</f>
        <v>60140</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MAY 2013</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sheetPr>
  <dimension ref="A1:IV299"/>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7.3999999999999996E-2</v>
      </c>
      <c r="L16" s="232" t="s">
        <v>133</v>
      </c>
      <c r="M16" s="231">
        <v>0.92600000000000005</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41540</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56531.313399999999</v>
      </c>
      <c r="E29" s="279"/>
      <c r="F29" s="279">
        <f>F28*F32</f>
        <v>1804.1202900000001</v>
      </c>
      <c r="G29" s="279"/>
      <c r="H29" s="279">
        <f>H28*H32</f>
        <v>1804.1202900000001</v>
      </c>
      <c r="I29" s="279"/>
      <c r="J29" s="284"/>
      <c r="K29" s="279"/>
      <c r="L29" s="279"/>
      <c r="M29" s="280"/>
      <c r="N29" s="279">
        <f>SUM(D29:H29)</f>
        <v>60139.553979999997</v>
      </c>
      <c r="O29" s="281"/>
      <c r="P29" s="5"/>
    </row>
    <row r="30" spans="1:16" ht="15.6" x14ac:dyDescent="0.3">
      <c r="A30" s="274"/>
      <c r="B30" s="275" t="s">
        <v>130</v>
      </c>
      <c r="C30" s="278"/>
      <c r="D30" s="285">
        <f>D28*D31</f>
        <v>52862.014600000002</v>
      </c>
      <c r="E30" s="285"/>
      <c r="F30" s="285">
        <f>F28*F31</f>
        <v>1687.0145399999999</v>
      </c>
      <c r="G30" s="285"/>
      <c r="H30" s="285">
        <f>H28*H31</f>
        <v>1687.0145399999999</v>
      </c>
      <c r="I30" s="285"/>
      <c r="J30" s="288"/>
      <c r="K30" s="279"/>
      <c r="L30" s="279"/>
      <c r="M30" s="280"/>
      <c r="N30" s="285">
        <f>SUM(D30:I30)</f>
        <v>56236.043679999995</v>
      </c>
      <c r="O30" s="281"/>
      <c r="P30" s="5"/>
    </row>
    <row r="31" spans="1:16" ht="15.6" x14ac:dyDescent="0.3">
      <c r="A31" s="262"/>
      <c r="B31" s="290" t="s">
        <v>126</v>
      </c>
      <c r="C31" s="291"/>
      <c r="D31" s="292">
        <v>0.2029252</v>
      </c>
      <c r="E31" s="292"/>
      <c r="F31" s="292">
        <v>0.41654679999999999</v>
      </c>
      <c r="G31" s="292"/>
      <c r="H31" s="292">
        <v>0.41654679999999999</v>
      </c>
      <c r="I31" s="293"/>
      <c r="J31" s="293"/>
      <c r="K31" s="294"/>
      <c r="L31" s="294"/>
      <c r="M31" s="269"/>
      <c r="N31" s="269"/>
      <c r="O31" s="270"/>
      <c r="P31" s="5"/>
    </row>
    <row r="32" spans="1:16" ht="15.6" x14ac:dyDescent="0.3">
      <c r="A32" s="262"/>
      <c r="B32" s="290" t="s">
        <v>127</v>
      </c>
      <c r="C32" s="291"/>
      <c r="D32" s="292">
        <v>0.2170108</v>
      </c>
      <c r="E32" s="292"/>
      <c r="F32" s="292">
        <v>0.44546180000000002</v>
      </c>
      <c r="G32" s="292"/>
      <c r="H32" s="292">
        <v>0.44546180000000002</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7.4850000000000003E-3</v>
      </c>
      <c r="E34" s="297"/>
      <c r="F34" s="298">
        <v>8.685E-3</v>
      </c>
      <c r="G34" s="297"/>
      <c r="H34" s="298">
        <v>1.0685E-2</v>
      </c>
      <c r="I34" s="297"/>
      <c r="J34" s="298"/>
      <c r="K34" s="297"/>
      <c r="L34" s="298"/>
      <c r="M34" s="268"/>
      <c r="N34" s="297">
        <f>SUMPRODUCT(D34:H34,D29:H29)/N29</f>
        <v>7.6169951471312869E-3</v>
      </c>
      <c r="O34" s="266"/>
      <c r="P34" s="5"/>
    </row>
    <row r="35" spans="1:17" ht="15.6" x14ac:dyDescent="0.3">
      <c r="A35" s="274"/>
      <c r="B35" s="263" t="s">
        <v>11</v>
      </c>
      <c r="C35" s="263"/>
      <c r="D35" s="298">
        <v>7.4688000000000003E-3</v>
      </c>
      <c r="E35" s="297"/>
      <c r="F35" s="298">
        <v>8.6688000000000008E-3</v>
      </c>
      <c r="G35" s="297"/>
      <c r="H35" s="298">
        <v>1.0668800000000001E-2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6.3827099771562618E-2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41533</v>
      </c>
      <c r="O45" s="266"/>
      <c r="P45" s="5"/>
    </row>
    <row r="46" spans="1:17" ht="15.6" x14ac:dyDescent="0.3">
      <c r="A46" s="274"/>
      <c r="B46" s="263" t="s">
        <v>119</v>
      </c>
      <c r="C46" s="263"/>
      <c r="D46" s="305"/>
      <c r="E46" s="305"/>
      <c r="F46" s="305"/>
      <c r="G46" s="305"/>
      <c r="H46" s="305"/>
      <c r="I46" s="305"/>
      <c r="J46" s="263">
        <f>+N46-L46+1</f>
        <v>94</v>
      </c>
      <c r="K46" s="305"/>
      <c r="L46" s="306">
        <v>41348</v>
      </c>
      <c r="M46" s="307"/>
      <c r="N46" s="306">
        <v>41441</v>
      </c>
      <c r="O46" s="266"/>
      <c r="P46" s="5"/>
    </row>
    <row r="47" spans="1:17" ht="15.6" x14ac:dyDescent="0.3">
      <c r="A47" s="274"/>
      <c r="B47" s="263" t="s">
        <v>120</v>
      </c>
      <c r="C47" s="263"/>
      <c r="D47" s="263"/>
      <c r="E47" s="263"/>
      <c r="F47" s="263"/>
      <c r="G47" s="263"/>
      <c r="H47" s="263"/>
      <c r="I47" s="263"/>
      <c r="J47" s="263">
        <f>+N47-L47+1</f>
        <v>91</v>
      </c>
      <c r="K47" s="263"/>
      <c r="L47" s="306">
        <v>41442</v>
      </c>
      <c r="M47" s="307"/>
      <c r="N47" s="306">
        <v>41532</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41519</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275</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60140</v>
      </c>
      <c r="G56" s="264"/>
      <c r="H56" s="264">
        <f>3904+719+1033</f>
        <v>5656</v>
      </c>
      <c r="I56" s="264"/>
      <c r="J56" s="264">
        <f>719+1033</f>
        <v>1752</v>
      </c>
      <c r="K56" s="264"/>
      <c r="L56" s="264">
        <v>0</v>
      </c>
      <c r="M56" s="264"/>
      <c r="N56" s="265">
        <f>+F56-H56+J56-L56</f>
        <v>56236</v>
      </c>
      <c r="O56" s="266"/>
      <c r="P56" s="5"/>
    </row>
    <row r="57" spans="1:16" ht="15.6" x14ac:dyDescent="0.3">
      <c r="A57" s="262"/>
      <c r="B57" s="263" t="s">
        <v>209</v>
      </c>
      <c r="C57" s="264"/>
      <c r="D57" s="264">
        <v>756</v>
      </c>
      <c r="E57" s="264"/>
      <c r="F57" s="265">
        <v>361</v>
      </c>
      <c r="G57" s="264"/>
      <c r="H57" s="264">
        <v>15</v>
      </c>
      <c r="I57" s="264"/>
      <c r="J57" s="264">
        <v>0</v>
      </c>
      <c r="K57" s="264"/>
      <c r="L57" s="264">
        <v>0</v>
      </c>
      <c r="M57" s="264"/>
      <c r="N57" s="265">
        <f>+F57-H57</f>
        <v>346</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60501</v>
      </c>
      <c r="G59" s="264"/>
      <c r="H59" s="264">
        <f>SUM(H56:H58)</f>
        <v>5671</v>
      </c>
      <c r="I59" s="264"/>
      <c r="J59" s="264">
        <f>SUM(J56:J58)</f>
        <v>1752</v>
      </c>
      <c r="K59" s="264"/>
      <c r="L59" s="264">
        <f>SUM(L56:L58)</f>
        <v>0</v>
      </c>
      <c r="M59" s="264"/>
      <c r="N59" s="264">
        <f>SUM(N56:N58)</f>
        <v>56582</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-361</v>
      </c>
      <c r="G68" s="264"/>
      <c r="H68" s="264"/>
      <c r="I68" s="264"/>
      <c r="J68" s="264"/>
      <c r="K68" s="264"/>
      <c r="L68" s="264"/>
      <c r="M68" s="264"/>
      <c r="N68" s="265">
        <f>-N57</f>
        <v>-346</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60140</v>
      </c>
      <c r="G72" s="264"/>
      <c r="H72" s="264"/>
      <c r="I72" s="264"/>
      <c r="J72" s="264"/>
      <c r="K72" s="264"/>
      <c r="L72" s="264"/>
      <c r="M72" s="264"/>
      <c r="N72" s="264">
        <f>SUM(N59:N71)</f>
        <v>56236</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41516</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5656</f>
        <v>5656</v>
      </c>
      <c r="M77" s="263"/>
      <c r="N77" s="265"/>
      <c r="O77" s="266"/>
      <c r="P77" s="5"/>
    </row>
    <row r="78" spans="1:16" ht="15.6" x14ac:dyDescent="0.3">
      <c r="A78" s="262"/>
      <c r="B78" s="263" t="s">
        <v>176</v>
      </c>
      <c r="C78" s="263"/>
      <c r="D78" s="300"/>
      <c r="E78" s="263"/>
      <c r="F78" s="309"/>
      <c r="G78" s="263"/>
      <c r="H78" s="263"/>
      <c r="I78" s="263"/>
      <c r="J78" s="263"/>
      <c r="K78" s="263"/>
      <c r="L78" s="264"/>
      <c r="M78" s="263"/>
      <c r="N78" s="265">
        <f>1119+79+1702-1826-34-1403</f>
        <v>-363</v>
      </c>
      <c r="O78" s="266"/>
      <c r="P78" s="5"/>
    </row>
    <row r="79" spans="1:16" ht="15.6" x14ac:dyDescent="0.3">
      <c r="A79" s="262"/>
      <c r="B79" s="263" t="s">
        <v>174</v>
      </c>
      <c r="C79" s="263"/>
      <c r="D79" s="300"/>
      <c r="E79" s="263"/>
      <c r="F79" s="309"/>
      <c r="G79" s="263"/>
      <c r="H79" s="263"/>
      <c r="I79" s="263"/>
      <c r="J79" s="263"/>
      <c r="K79" s="263"/>
      <c r="L79" s="264"/>
      <c r="M79" s="263"/>
      <c r="N79" s="265">
        <f>156+31</f>
        <v>187</v>
      </c>
      <c r="O79" s="266"/>
      <c r="P79" s="5"/>
    </row>
    <row r="80" spans="1:16" ht="15.6" x14ac:dyDescent="0.3">
      <c r="A80" s="262"/>
      <c r="B80" s="263" t="s">
        <v>175</v>
      </c>
      <c r="C80" s="263"/>
      <c r="D80" s="300"/>
      <c r="E80" s="263"/>
      <c r="F80" s="309"/>
      <c r="G80" s="263"/>
      <c r="H80" s="263"/>
      <c r="I80" s="263"/>
      <c r="J80" s="263"/>
      <c r="K80" s="263"/>
      <c r="L80" s="264"/>
      <c r="M80" s="263"/>
      <c r="N80" s="265">
        <v>3</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5656</v>
      </c>
      <c r="M83" s="263"/>
      <c r="N83" s="264">
        <f>SUM(N76:N82)</f>
        <v>-173</v>
      </c>
      <c r="O83" s="266"/>
      <c r="P83" s="5"/>
    </row>
    <row r="84" spans="1:17" ht="15.6" x14ac:dyDescent="0.3">
      <c r="A84" s="262"/>
      <c r="B84" s="263" t="s">
        <v>148</v>
      </c>
      <c r="C84" s="263"/>
      <c r="D84" s="263"/>
      <c r="E84" s="263"/>
      <c r="F84" s="263"/>
      <c r="G84" s="263"/>
      <c r="H84" s="263"/>
      <c r="I84" s="263"/>
      <c r="J84" s="263"/>
      <c r="K84" s="263"/>
      <c r="L84" s="264">
        <v>-1033</v>
      </c>
      <c r="M84" s="263"/>
      <c r="N84" s="264">
        <f>-L84</f>
        <v>1033</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4623</v>
      </c>
      <c r="M87" s="263"/>
      <c r="N87" s="264">
        <f>N83+N85+N84+N86</f>
        <v>860</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-23-1-81</f>
        <v>-105</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-106</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-5</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0</v>
      </c>
      <c r="M98" s="263"/>
      <c r="N98" s="265">
        <v>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-23</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-607</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-719</v>
      </c>
      <c r="M107" s="264"/>
      <c r="N107" s="265"/>
      <c r="O107" s="266"/>
      <c r="P107" s="5"/>
    </row>
    <row r="108" spans="1:16" ht="15.6" x14ac:dyDescent="0.3">
      <c r="A108" s="274"/>
      <c r="B108" s="263" t="s">
        <v>200</v>
      </c>
      <c r="C108" s="263"/>
      <c r="D108" s="263"/>
      <c r="E108" s="263"/>
      <c r="F108" s="263"/>
      <c r="G108" s="263"/>
      <c r="H108" s="263"/>
      <c r="I108" s="263"/>
      <c r="J108" s="263"/>
      <c r="K108" s="263"/>
      <c r="L108" s="264">
        <v>-3670</v>
      </c>
      <c r="M108" s="264"/>
      <c r="N108" s="265"/>
      <c r="O108" s="266"/>
      <c r="P108" s="5"/>
    </row>
    <row r="109" spans="1:16" ht="15.6" x14ac:dyDescent="0.3">
      <c r="A109" s="274"/>
      <c r="B109" s="263" t="s">
        <v>201</v>
      </c>
      <c r="C109" s="263"/>
      <c r="D109" s="263"/>
      <c r="E109" s="263"/>
      <c r="F109" s="263"/>
      <c r="G109" s="263"/>
      <c r="H109" s="263"/>
      <c r="I109" s="263"/>
      <c r="J109" s="263"/>
      <c r="K109" s="263"/>
      <c r="L109" s="264">
        <v>-117</v>
      </c>
      <c r="M109" s="264"/>
      <c r="N109" s="265"/>
      <c r="O109" s="266"/>
      <c r="P109" s="5"/>
    </row>
    <row r="110" spans="1:16" ht="15.6" x14ac:dyDescent="0.3">
      <c r="A110" s="274"/>
      <c r="B110" s="263" t="s">
        <v>202</v>
      </c>
      <c r="C110" s="263"/>
      <c r="D110" s="263"/>
      <c r="E110" s="263"/>
      <c r="F110" s="263"/>
      <c r="G110" s="263"/>
      <c r="H110" s="263"/>
      <c r="I110" s="263"/>
      <c r="J110" s="263"/>
      <c r="K110" s="263"/>
      <c r="L110" s="264">
        <v>-117</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-4623</v>
      </c>
      <c r="M111" s="264"/>
      <c r="N111" s="264">
        <f>SUM(N88:N109)</f>
        <v>-860</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AUGUST 2013</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0</v>
      </c>
      <c r="O144" s="266"/>
      <c r="P144" s="5"/>
    </row>
    <row r="145" spans="1:256" ht="15.6" x14ac:dyDescent="0.3">
      <c r="A145" s="262"/>
      <c r="B145" s="263" t="s">
        <v>51</v>
      </c>
      <c r="C145" s="263"/>
      <c r="D145" s="263"/>
      <c r="E145" s="263"/>
      <c r="F145" s="263"/>
      <c r="G145" s="263"/>
      <c r="H145" s="263"/>
      <c r="I145" s="263"/>
      <c r="J145" s="263"/>
      <c r="K145" s="263"/>
      <c r="L145" s="263"/>
      <c r="M145" s="263"/>
      <c r="N145" s="265">
        <f>+N143+N144</f>
        <v>0</v>
      </c>
      <c r="O145" s="266"/>
      <c r="P145" s="5"/>
    </row>
    <row r="146" spans="1:256" ht="15.6" x14ac:dyDescent="0.3">
      <c r="A146" s="262"/>
      <c r="B146" s="263" t="s">
        <v>264</v>
      </c>
      <c r="C146" s="263"/>
      <c r="D146" s="263"/>
      <c r="E146" s="263"/>
      <c r="F146" s="263"/>
      <c r="G146" s="263"/>
      <c r="H146" s="263"/>
      <c r="I146" s="263"/>
      <c r="J146" s="263"/>
      <c r="K146" s="263"/>
      <c r="L146" s="263"/>
      <c r="M146" s="263"/>
      <c r="N146" s="265">
        <f>N98</f>
        <v>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56236</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56236</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+'May 13'!N161</f>
        <v>361</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15</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346</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+'May 13'!L168</f>
        <v>17972</v>
      </c>
      <c r="M166" s="263"/>
      <c r="N166" s="265">
        <f>K166+L166</f>
        <v>17972</v>
      </c>
      <c r="O166" s="266"/>
      <c r="P166" s="5"/>
    </row>
    <row r="167" spans="1:256" ht="15.6" x14ac:dyDescent="0.3">
      <c r="A167" s="262"/>
      <c r="B167" s="263" t="s">
        <v>58</v>
      </c>
      <c r="C167" s="263"/>
      <c r="D167" s="263"/>
      <c r="E167" s="263"/>
      <c r="F167" s="263"/>
      <c r="G167" s="263"/>
      <c r="H167" s="263"/>
      <c r="I167" s="263"/>
      <c r="J167" s="263"/>
      <c r="K167" s="264">
        <v>0</v>
      </c>
      <c r="L167" s="264">
        <f>-L107</f>
        <v>719</v>
      </c>
      <c r="M167" s="263"/>
      <c r="N167" s="265">
        <f>K167+L167</f>
        <v>719</v>
      </c>
      <c r="O167" s="266"/>
      <c r="P167" s="5"/>
    </row>
    <row r="168" spans="1:256" ht="15.6" x14ac:dyDescent="0.3">
      <c r="A168" s="262"/>
      <c r="B168" s="263" t="s">
        <v>59</v>
      </c>
      <c r="C168" s="263"/>
      <c r="D168" s="263"/>
      <c r="E168" s="263"/>
      <c r="F168" s="263"/>
      <c r="G168" s="263"/>
      <c r="H168" s="263"/>
      <c r="I168" s="263"/>
      <c r="J168" s="263"/>
      <c r="K168" s="265">
        <f>K166+K167</f>
        <v>0</v>
      </c>
      <c r="L168" s="265">
        <f>L167+L166</f>
        <v>18691</v>
      </c>
      <c r="M168" s="263"/>
      <c r="N168" s="265">
        <f>K168+L168</f>
        <v>18691</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7.1037735849056602</v>
      </c>
      <c r="O173" s="266" t="s">
        <v>115</v>
      </c>
      <c r="P173" s="5"/>
    </row>
    <row r="174" spans="1:256" ht="15.6" x14ac:dyDescent="0.3">
      <c r="A174" s="262"/>
      <c r="B174" s="263" t="s">
        <v>63</v>
      </c>
      <c r="C174" s="263"/>
      <c r="D174" s="263"/>
      <c r="E174" s="263"/>
      <c r="F174" s="263"/>
      <c r="G174" s="263"/>
      <c r="H174" s="263"/>
      <c r="I174" s="263"/>
      <c r="J174" s="263"/>
      <c r="K174" s="263"/>
      <c r="L174" s="263"/>
      <c r="M174" s="263"/>
      <c r="N174" s="315">
        <v>2.08</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161.75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47.45</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128.6</v>
      </c>
      <c r="O177" s="266" t="s">
        <v>115</v>
      </c>
      <c r="P177" s="5"/>
    </row>
    <row r="178" spans="1:16" ht="15.6" x14ac:dyDescent="0.3">
      <c r="A178" s="262"/>
      <c r="B178" s="263" t="s">
        <v>167</v>
      </c>
      <c r="C178" s="263"/>
      <c r="D178" s="263"/>
      <c r="E178" s="263"/>
      <c r="F178" s="263"/>
      <c r="G178" s="263"/>
      <c r="H178" s="263"/>
      <c r="I178" s="263"/>
      <c r="J178" s="263"/>
      <c r="K178" s="263"/>
      <c r="L178" s="263"/>
      <c r="M178" s="263"/>
      <c r="N178" s="315">
        <v>44.67</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AUGUST 2013</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41516</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5.0729999999999997E-2</v>
      </c>
      <c r="M188" s="263"/>
      <c r="N188" s="263"/>
      <c r="O188" s="266"/>
      <c r="P188" s="5"/>
    </row>
    <row r="189" spans="1:16" ht="15.6" x14ac:dyDescent="0.3">
      <c r="A189" s="321"/>
      <c r="B189" s="263" t="s">
        <v>212</v>
      </c>
      <c r="C189" s="322"/>
      <c r="D189" s="303"/>
      <c r="E189" s="303"/>
      <c r="F189" s="303"/>
      <c r="G189" s="303"/>
      <c r="H189" s="303"/>
      <c r="I189" s="303"/>
      <c r="J189" s="303"/>
      <c r="K189" s="303"/>
      <c r="L189" s="297">
        <f>N34</f>
        <v>7.6169951471312869E-3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4.311300485286871E-2</v>
      </c>
      <c r="M190" s="263"/>
      <c r="N190" s="263"/>
      <c r="O190" s="266"/>
      <c r="P190" s="5"/>
    </row>
    <row r="191" spans="1:16" ht="15.6" x14ac:dyDescent="0.3">
      <c r="A191" s="321"/>
      <c r="B191" s="263" t="s">
        <v>203</v>
      </c>
      <c r="C191" s="322"/>
      <c r="D191" s="303"/>
      <c r="E191" s="303"/>
      <c r="F191" s="303"/>
      <c r="G191" s="303"/>
      <c r="H191" s="303"/>
      <c r="I191" s="303"/>
      <c r="J191" s="303"/>
      <c r="K191" s="303"/>
      <c r="L191" s="297">
        <f>+N87/F59</f>
        <v>1.4214641080312722E-2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4.93</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9.4047223145992689E-2</v>
      </c>
      <c r="M197" s="263"/>
      <c r="N197" s="263"/>
      <c r="O197" s="266"/>
      <c r="P197" s="5"/>
    </row>
    <row r="198" spans="1:16" ht="15.6" x14ac:dyDescent="0.3">
      <c r="A198" s="321"/>
      <c r="B198" s="263" t="s">
        <v>74</v>
      </c>
      <c r="C198" s="322"/>
      <c r="D198" s="303"/>
      <c r="E198" s="303"/>
      <c r="F198" s="303"/>
      <c r="G198" s="303"/>
      <c r="H198" s="303"/>
      <c r="I198" s="303"/>
      <c r="J198" s="303"/>
      <c r="K198" s="303"/>
      <c r="L198" s="297">
        <v>0.26700000000000002</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8</v>
      </c>
      <c r="L201" s="331">
        <v>514</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3</v>
      </c>
      <c r="L203" s="331">
        <f>+L286</f>
        <v>1101</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0</v>
      </c>
      <c r="M207" s="291"/>
      <c r="N207" s="337"/>
      <c r="O207" s="342"/>
      <c r="P207" s="5"/>
    </row>
    <row r="208" spans="1:16" ht="15.6" x14ac:dyDescent="0.3">
      <c r="A208" s="330"/>
      <c r="B208" s="263" t="s">
        <v>82</v>
      </c>
      <c r="C208" s="264"/>
      <c r="D208" s="263"/>
      <c r="E208" s="263"/>
      <c r="F208" s="263"/>
      <c r="G208" s="263"/>
      <c r="H208" s="263"/>
      <c r="I208" s="263"/>
      <c r="J208" s="263"/>
      <c r="K208" s="276"/>
      <c r="L208" s="331">
        <f>'May 13'!L208+L207</f>
        <v>38</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1</v>
      </c>
      <c r="L210" s="331">
        <v>63</v>
      </c>
      <c r="M210" s="291"/>
      <c r="N210" s="337"/>
      <c r="O210" s="342"/>
      <c r="P210" s="5"/>
    </row>
    <row r="211" spans="1:17" ht="15.6" x14ac:dyDescent="0.3">
      <c r="A211" s="347"/>
      <c r="B211" s="263" t="s">
        <v>83</v>
      </c>
      <c r="C211" s="300"/>
      <c r="D211" s="263"/>
      <c r="E211" s="263"/>
      <c r="F211" s="263"/>
      <c r="G211" s="263"/>
      <c r="H211" s="263"/>
      <c r="I211" s="263"/>
      <c r="J211" s="263"/>
      <c r="K211" s="263"/>
      <c r="L211" s="339">
        <v>13.8</v>
      </c>
      <c r="M211" s="291"/>
      <c r="N211" s="337"/>
      <c r="O211" s="342"/>
      <c r="P211" s="5"/>
    </row>
    <row r="212" spans="1:17" ht="15.6" x14ac:dyDescent="0.3">
      <c r="A212" s="347"/>
      <c r="B212" s="263" t="s">
        <v>84</v>
      </c>
      <c r="C212" s="300"/>
      <c r="D212" s="263"/>
      <c r="E212" s="263"/>
      <c r="F212" s="263"/>
      <c r="G212" s="263"/>
      <c r="H212" s="263"/>
      <c r="I212" s="263"/>
      <c r="J212" s="263"/>
      <c r="K212" s="263"/>
      <c r="L212" s="339">
        <v>5.16</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1285</v>
      </c>
      <c r="K221" s="355">
        <f t="shared" ref="K221:K233" si="2">J221/$J$235</f>
        <v>0.94277329420396183</v>
      </c>
      <c r="L221" s="265">
        <f t="shared" ref="L221:L233" si="3">+L238+L255+L272</f>
        <v>51295</v>
      </c>
      <c r="M221" s="355">
        <f t="shared" ref="M221:M233" si="4">L221/$L$235</f>
        <v>0.91213813215733697</v>
      </c>
      <c r="N221" s="332"/>
      <c r="O221" s="356"/>
      <c r="P221" s="5"/>
    </row>
    <row r="222" spans="1:17" ht="15.6" x14ac:dyDescent="0.3">
      <c r="A222" s="262"/>
      <c r="B222" s="264" t="s">
        <v>86</v>
      </c>
      <c r="C222" s="354"/>
      <c r="D222" s="354"/>
      <c r="E222" s="354"/>
      <c r="F222" s="354"/>
      <c r="G222" s="354"/>
      <c r="H222" s="354"/>
      <c r="I222" s="354"/>
      <c r="J222" s="264">
        <f t="shared" si="1"/>
        <v>15</v>
      </c>
      <c r="K222" s="355">
        <f t="shared" si="2"/>
        <v>1.1005135730007337E-2</v>
      </c>
      <c r="L222" s="265">
        <f t="shared" si="3"/>
        <v>688</v>
      </c>
      <c r="M222" s="355">
        <f t="shared" si="4"/>
        <v>1.2234156056618536E-2</v>
      </c>
      <c r="N222" s="332"/>
      <c r="O222" s="356"/>
      <c r="P222" s="5"/>
      <c r="Q222" s="104"/>
    </row>
    <row r="223" spans="1:17" ht="15.6" x14ac:dyDescent="0.3">
      <c r="A223" s="262"/>
      <c r="B223" s="264" t="s">
        <v>87</v>
      </c>
      <c r="C223" s="354"/>
      <c r="D223" s="354"/>
      <c r="E223" s="354"/>
      <c r="F223" s="354"/>
      <c r="G223" s="354"/>
      <c r="H223" s="354"/>
      <c r="I223" s="354"/>
      <c r="J223" s="264">
        <f t="shared" si="1"/>
        <v>13</v>
      </c>
      <c r="K223" s="355">
        <f t="shared" si="2"/>
        <v>9.5377842993396925E-3</v>
      </c>
      <c r="L223" s="265">
        <f t="shared" si="3"/>
        <v>726</v>
      </c>
      <c r="M223" s="355">
        <f t="shared" si="4"/>
        <v>1.2909879792303862E-2</v>
      </c>
      <c r="N223" s="332"/>
      <c r="O223" s="356"/>
      <c r="P223" s="5"/>
    </row>
    <row r="224" spans="1:17" ht="15.6" x14ac:dyDescent="0.3">
      <c r="A224" s="262"/>
      <c r="B224" s="264" t="s">
        <v>145</v>
      </c>
      <c r="C224" s="354"/>
      <c r="D224" s="354"/>
      <c r="E224" s="354"/>
      <c r="F224" s="354"/>
      <c r="G224" s="354"/>
      <c r="H224" s="354"/>
      <c r="I224" s="354"/>
      <c r="J224" s="264">
        <f t="shared" si="1"/>
        <v>7</v>
      </c>
      <c r="K224" s="355">
        <f t="shared" si="2"/>
        <v>5.1357300073367569E-3</v>
      </c>
      <c r="L224" s="265">
        <f t="shared" si="3"/>
        <v>467</v>
      </c>
      <c r="M224" s="355">
        <f t="shared" si="4"/>
        <v>8.3042890675012453E-3</v>
      </c>
      <c r="N224" s="332"/>
      <c r="O224" s="356"/>
      <c r="P224" s="5"/>
      <c r="Q224" s="104"/>
    </row>
    <row r="225" spans="1:17" ht="15.6" x14ac:dyDescent="0.3">
      <c r="A225" s="262"/>
      <c r="B225" s="264" t="s">
        <v>146</v>
      </c>
      <c r="C225" s="354"/>
      <c r="D225" s="354"/>
      <c r="E225" s="354"/>
      <c r="F225" s="354"/>
      <c r="G225" s="354"/>
      <c r="H225" s="354"/>
      <c r="I225" s="354"/>
      <c r="J225" s="264">
        <f t="shared" si="1"/>
        <v>11</v>
      </c>
      <c r="K225" s="355">
        <f t="shared" si="2"/>
        <v>8.0704328686720464E-3</v>
      </c>
      <c r="L225" s="265">
        <f t="shared" si="3"/>
        <v>554</v>
      </c>
      <c r="M225" s="355">
        <f t="shared" si="4"/>
        <v>9.8513407781492274E-3</v>
      </c>
      <c r="N225" s="332"/>
      <c r="O225" s="356"/>
      <c r="P225" s="5"/>
    </row>
    <row r="226" spans="1:17" ht="15.6" x14ac:dyDescent="0.3">
      <c r="A226" s="262"/>
      <c r="B226" s="264" t="s">
        <v>147</v>
      </c>
      <c r="C226" s="354"/>
      <c r="D226" s="354"/>
      <c r="E226" s="354"/>
      <c r="F226" s="354"/>
      <c r="G226" s="354"/>
      <c r="H226" s="354"/>
      <c r="I226" s="354"/>
      <c r="J226" s="264">
        <f t="shared" si="1"/>
        <v>3</v>
      </c>
      <c r="K226" s="355">
        <f t="shared" si="2"/>
        <v>2.2010271460014674E-3</v>
      </c>
      <c r="L226" s="265">
        <f t="shared" si="3"/>
        <v>134</v>
      </c>
      <c r="M226" s="355">
        <f t="shared" si="4"/>
        <v>2.3828152784693079E-3</v>
      </c>
      <c r="N226" s="332"/>
      <c r="O226" s="356"/>
      <c r="P226" s="5"/>
      <c r="Q226" s="104"/>
    </row>
    <row r="227" spans="1:17" ht="15.6" x14ac:dyDescent="0.3">
      <c r="A227" s="262"/>
      <c r="B227" s="264" t="s">
        <v>227</v>
      </c>
      <c r="C227" s="354"/>
      <c r="D227" s="354"/>
      <c r="E227" s="354"/>
      <c r="F227" s="354"/>
      <c r="G227" s="354"/>
      <c r="H227" s="354"/>
      <c r="I227" s="354"/>
      <c r="J227" s="264">
        <f t="shared" si="1"/>
        <v>6</v>
      </c>
      <c r="K227" s="355">
        <f t="shared" si="2"/>
        <v>4.4020542920029347E-3</v>
      </c>
      <c r="L227" s="265">
        <f t="shared" si="3"/>
        <v>280</v>
      </c>
      <c r="M227" s="355">
        <f t="shared" si="4"/>
        <v>4.9790169997866139E-3</v>
      </c>
      <c r="N227" s="332"/>
      <c r="O227" s="356"/>
      <c r="P227" s="5"/>
    </row>
    <row r="228" spans="1:17" ht="15.6" x14ac:dyDescent="0.3">
      <c r="A228" s="262"/>
      <c r="B228" s="264" t="s">
        <v>228</v>
      </c>
      <c r="C228" s="354"/>
      <c r="D228" s="354"/>
      <c r="E228" s="354"/>
      <c r="F228" s="354"/>
      <c r="G228" s="354"/>
      <c r="H228" s="354"/>
      <c r="I228" s="354"/>
      <c r="J228" s="264">
        <f t="shared" si="1"/>
        <v>7</v>
      </c>
      <c r="K228" s="355">
        <f t="shared" si="2"/>
        <v>5.1357300073367569E-3</v>
      </c>
      <c r="L228" s="265">
        <f t="shared" si="3"/>
        <v>271</v>
      </c>
      <c r="M228" s="355">
        <f t="shared" si="4"/>
        <v>4.8189771676506151E-3</v>
      </c>
      <c r="N228" s="332"/>
      <c r="O228" s="356"/>
      <c r="P228" s="5"/>
      <c r="Q228" s="104"/>
    </row>
    <row r="229" spans="1:17" ht="15.6" x14ac:dyDescent="0.3">
      <c r="A229" s="262"/>
      <c r="B229" s="264" t="s">
        <v>229</v>
      </c>
      <c r="C229" s="354"/>
      <c r="D229" s="354"/>
      <c r="E229" s="354"/>
      <c r="F229" s="354"/>
      <c r="G229" s="354"/>
      <c r="H229" s="354"/>
      <c r="I229" s="354"/>
      <c r="J229" s="264">
        <f t="shared" si="1"/>
        <v>4</v>
      </c>
      <c r="K229" s="355">
        <f t="shared" si="2"/>
        <v>2.93470286133529E-3</v>
      </c>
      <c r="L229" s="265">
        <f t="shared" si="3"/>
        <v>264</v>
      </c>
      <c r="M229" s="355">
        <f t="shared" si="4"/>
        <v>4.69450174265595E-3</v>
      </c>
      <c r="N229" s="332"/>
      <c r="O229" s="356"/>
      <c r="P229" s="5"/>
      <c r="Q229" s="104"/>
    </row>
    <row r="230" spans="1:17" ht="15.6" x14ac:dyDescent="0.3">
      <c r="A230" s="262"/>
      <c r="B230" s="264" t="s">
        <v>230</v>
      </c>
      <c r="C230" s="354"/>
      <c r="D230" s="354"/>
      <c r="E230" s="354"/>
      <c r="F230" s="354"/>
      <c r="G230" s="354"/>
      <c r="H230" s="354"/>
      <c r="I230" s="354"/>
      <c r="J230" s="264">
        <f t="shared" si="1"/>
        <v>2</v>
      </c>
      <c r="K230" s="355">
        <f t="shared" si="2"/>
        <v>1.467351430667645E-3</v>
      </c>
      <c r="L230" s="265">
        <f t="shared" si="3"/>
        <v>136</v>
      </c>
      <c r="M230" s="355">
        <f t="shared" si="4"/>
        <v>2.4183796856106408E-3</v>
      </c>
      <c r="N230" s="332"/>
      <c r="O230" s="356"/>
      <c r="P230" s="5"/>
      <c r="Q230" s="104"/>
    </row>
    <row r="231" spans="1:17" ht="15.6" x14ac:dyDescent="0.3">
      <c r="A231" s="262"/>
      <c r="B231" s="264" t="s">
        <v>231</v>
      </c>
      <c r="C231" s="354"/>
      <c r="D231" s="354"/>
      <c r="E231" s="354"/>
      <c r="F231" s="354"/>
      <c r="G231" s="354"/>
      <c r="H231" s="354"/>
      <c r="I231" s="354"/>
      <c r="J231" s="264">
        <f t="shared" si="1"/>
        <v>1</v>
      </c>
      <c r="K231" s="355">
        <f t="shared" si="2"/>
        <v>7.3367571533382249E-4</v>
      </c>
      <c r="L231" s="265">
        <f t="shared" si="3"/>
        <v>44</v>
      </c>
      <c r="M231" s="355">
        <f t="shared" si="4"/>
        <v>7.8241695710932503E-4</v>
      </c>
      <c r="N231" s="332"/>
      <c r="O231" s="356"/>
      <c r="P231" s="5"/>
      <c r="Q231" s="104"/>
    </row>
    <row r="232" spans="1:17" ht="15.6" x14ac:dyDescent="0.3">
      <c r="A232" s="262"/>
      <c r="B232" s="264" t="s">
        <v>232</v>
      </c>
      <c r="C232" s="354"/>
      <c r="D232" s="354"/>
      <c r="E232" s="354"/>
      <c r="F232" s="354"/>
      <c r="G232" s="354"/>
      <c r="H232" s="354"/>
      <c r="I232" s="354"/>
      <c r="J232" s="264">
        <f t="shared" si="1"/>
        <v>3</v>
      </c>
      <c r="K232" s="355">
        <f t="shared" si="2"/>
        <v>2.2010271460014674E-3</v>
      </c>
      <c r="L232" s="265">
        <f t="shared" si="3"/>
        <v>1149</v>
      </c>
      <c r="M232" s="355">
        <f t="shared" si="4"/>
        <v>2.0431751902695781E-2</v>
      </c>
      <c r="N232" s="332"/>
      <c r="O232" s="356"/>
      <c r="P232" s="5"/>
      <c r="Q232" s="104"/>
    </row>
    <row r="233" spans="1:17" ht="15.6" x14ac:dyDescent="0.3">
      <c r="A233" s="262"/>
      <c r="B233" s="264" t="s">
        <v>233</v>
      </c>
      <c r="C233" s="354"/>
      <c r="D233" s="354"/>
      <c r="E233" s="354"/>
      <c r="F233" s="354"/>
      <c r="G233" s="354"/>
      <c r="H233" s="354"/>
      <c r="I233" s="354"/>
      <c r="J233" s="264">
        <f t="shared" si="1"/>
        <v>6</v>
      </c>
      <c r="K233" s="355">
        <f t="shared" si="2"/>
        <v>4.4020542920029347E-3</v>
      </c>
      <c r="L233" s="265">
        <f t="shared" si="3"/>
        <v>228</v>
      </c>
      <c r="M233" s="355">
        <f t="shared" si="4"/>
        <v>4.0543424141119564E-3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1363</v>
      </c>
      <c r="K235" s="355">
        <f>SUM(K221:K234)</f>
        <v>1</v>
      </c>
      <c r="L235" s="265">
        <f>SUM(L221:L234)</f>
        <v>56236</v>
      </c>
      <c r="M235" s="355">
        <f>SUM(M221:M234)</f>
        <v>0.99999999999999989</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1285</v>
      </c>
      <c r="K238" s="355">
        <f t="shared" ref="K238:K250" si="5">J238/$J$252</f>
        <v>0.94485294117647056</v>
      </c>
      <c r="L238" s="265">
        <v>51295</v>
      </c>
      <c r="M238" s="355">
        <f t="shared" ref="M238:M250" si="6">L238/$L$252</f>
        <v>0.93035277047247666</v>
      </c>
      <c r="N238" s="332"/>
      <c r="O238" s="356"/>
      <c r="P238" s="5"/>
    </row>
    <row r="239" spans="1:17" ht="15.6" x14ac:dyDescent="0.3">
      <c r="A239" s="262"/>
      <c r="B239" s="264" t="s">
        <v>86</v>
      </c>
      <c r="C239" s="354"/>
      <c r="D239" s="354"/>
      <c r="E239" s="354"/>
      <c r="F239" s="354"/>
      <c r="G239" s="354"/>
      <c r="H239" s="354"/>
      <c r="I239" s="354"/>
      <c r="J239" s="264">
        <v>15</v>
      </c>
      <c r="K239" s="355">
        <f t="shared" si="5"/>
        <v>1.1029411764705883E-2</v>
      </c>
      <c r="L239" s="265">
        <v>688</v>
      </c>
      <c r="M239" s="355">
        <f t="shared" si="6"/>
        <v>1.2478461957014601E-2</v>
      </c>
      <c r="N239" s="332"/>
      <c r="O239" s="356"/>
      <c r="P239" s="5"/>
      <c r="Q239" s="104"/>
    </row>
    <row r="240" spans="1:17" ht="15.6" x14ac:dyDescent="0.3">
      <c r="A240" s="262"/>
      <c r="B240" s="264" t="s">
        <v>87</v>
      </c>
      <c r="C240" s="354"/>
      <c r="D240" s="354"/>
      <c r="E240" s="354"/>
      <c r="F240" s="354"/>
      <c r="G240" s="354"/>
      <c r="H240" s="354"/>
      <c r="I240" s="354"/>
      <c r="J240" s="264">
        <v>13</v>
      </c>
      <c r="K240" s="355">
        <f t="shared" si="5"/>
        <v>9.5588235294117654E-3</v>
      </c>
      <c r="L240" s="265">
        <v>726</v>
      </c>
      <c r="M240" s="355">
        <f t="shared" si="6"/>
        <v>1.3167679332547384E-2</v>
      </c>
      <c r="N240" s="332"/>
      <c r="O240" s="356"/>
      <c r="P240" s="5"/>
    </row>
    <row r="241" spans="1:17" ht="15.6" x14ac:dyDescent="0.3">
      <c r="A241" s="262"/>
      <c r="B241" s="264" t="s">
        <v>145</v>
      </c>
      <c r="C241" s="354"/>
      <c r="D241" s="354"/>
      <c r="E241" s="354"/>
      <c r="F241" s="354"/>
      <c r="G241" s="354"/>
      <c r="H241" s="354"/>
      <c r="I241" s="354"/>
      <c r="J241" s="264">
        <v>7</v>
      </c>
      <c r="K241" s="355">
        <f t="shared" si="5"/>
        <v>5.1470588235294117E-3</v>
      </c>
      <c r="L241" s="265">
        <v>467</v>
      </c>
      <c r="M241" s="355">
        <f t="shared" si="6"/>
        <v>8.4701187993107829E-3</v>
      </c>
      <c r="N241" s="332"/>
      <c r="O241" s="356"/>
      <c r="P241" s="5"/>
      <c r="Q241" s="104"/>
    </row>
    <row r="242" spans="1:17" ht="15.6" x14ac:dyDescent="0.3">
      <c r="A242" s="262"/>
      <c r="B242" s="264" t="s">
        <v>146</v>
      </c>
      <c r="C242" s="354"/>
      <c r="D242" s="354"/>
      <c r="E242" s="354"/>
      <c r="F242" s="354"/>
      <c r="G242" s="354"/>
      <c r="H242" s="354"/>
      <c r="I242" s="354"/>
      <c r="J242" s="264">
        <v>11</v>
      </c>
      <c r="K242" s="355">
        <f t="shared" si="5"/>
        <v>8.0882352941176478E-3</v>
      </c>
      <c r="L242" s="265">
        <v>554</v>
      </c>
      <c r="M242" s="355">
        <f t="shared" si="6"/>
        <v>1.0048063843293733E-2</v>
      </c>
      <c r="N242" s="332"/>
      <c r="O242" s="356"/>
      <c r="P242" s="5"/>
    </row>
    <row r="243" spans="1:17" ht="15.6" x14ac:dyDescent="0.3">
      <c r="A243" s="262"/>
      <c r="B243" s="264" t="s">
        <v>147</v>
      </c>
      <c r="C243" s="354"/>
      <c r="D243" s="354"/>
      <c r="E243" s="354"/>
      <c r="F243" s="354"/>
      <c r="G243" s="354"/>
      <c r="H243" s="354"/>
      <c r="I243" s="354"/>
      <c r="J243" s="264">
        <v>3</v>
      </c>
      <c r="K243" s="355">
        <f t="shared" si="5"/>
        <v>2.2058823529411764E-3</v>
      </c>
      <c r="L243" s="265">
        <v>134</v>
      </c>
      <c r="M243" s="355">
        <f t="shared" si="6"/>
        <v>2.4303981137208668E-3</v>
      </c>
      <c r="N243" s="332"/>
      <c r="O243" s="356"/>
      <c r="P243" s="5"/>
      <c r="Q243" s="104"/>
    </row>
    <row r="244" spans="1:17" ht="15.6" x14ac:dyDescent="0.3">
      <c r="A244" s="262"/>
      <c r="B244" s="264" t="s">
        <v>227</v>
      </c>
      <c r="C244" s="354"/>
      <c r="D244" s="354"/>
      <c r="E244" s="354"/>
      <c r="F244" s="354"/>
      <c r="G244" s="354"/>
      <c r="H244" s="354"/>
      <c r="I244" s="354"/>
      <c r="J244" s="264">
        <v>6</v>
      </c>
      <c r="K244" s="355">
        <f t="shared" si="5"/>
        <v>4.4117647058823529E-3</v>
      </c>
      <c r="L244" s="265">
        <v>280</v>
      </c>
      <c r="M244" s="355">
        <f t="shared" si="6"/>
        <v>5.0784438197152447E-3</v>
      </c>
      <c r="N244" s="332"/>
      <c r="O244" s="356"/>
      <c r="P244" s="5"/>
    </row>
    <row r="245" spans="1:17" ht="15.6" x14ac:dyDescent="0.3">
      <c r="A245" s="262"/>
      <c r="B245" s="264" t="s">
        <v>228</v>
      </c>
      <c r="C245" s="354"/>
      <c r="D245" s="354"/>
      <c r="E245" s="354"/>
      <c r="F245" s="354"/>
      <c r="G245" s="354"/>
      <c r="H245" s="354"/>
      <c r="I245" s="354"/>
      <c r="J245" s="264">
        <v>7</v>
      </c>
      <c r="K245" s="355">
        <f t="shared" si="5"/>
        <v>5.1470588235294117E-3</v>
      </c>
      <c r="L245" s="265">
        <v>271</v>
      </c>
      <c r="M245" s="355">
        <f t="shared" si="6"/>
        <v>4.9152081255101118E-3</v>
      </c>
      <c r="N245" s="332"/>
      <c r="O245" s="356"/>
      <c r="P245" s="5"/>
      <c r="Q245" s="104"/>
    </row>
    <row r="246" spans="1:17" ht="15.6" x14ac:dyDescent="0.3">
      <c r="A246" s="262"/>
      <c r="B246" s="264" t="s">
        <v>229</v>
      </c>
      <c r="C246" s="354"/>
      <c r="D246" s="354"/>
      <c r="E246" s="354"/>
      <c r="F246" s="354"/>
      <c r="G246" s="354"/>
      <c r="H246" s="354"/>
      <c r="I246" s="354"/>
      <c r="J246" s="264">
        <v>3</v>
      </c>
      <c r="K246" s="355">
        <f t="shared" si="5"/>
        <v>2.2058823529411764E-3</v>
      </c>
      <c r="L246" s="265">
        <v>212</v>
      </c>
      <c r="M246" s="355">
        <f t="shared" si="6"/>
        <v>3.8451074634986851E-3</v>
      </c>
      <c r="N246" s="332"/>
      <c r="O246" s="356"/>
      <c r="P246" s="5"/>
      <c r="Q246" s="104"/>
    </row>
    <row r="247" spans="1:17" ht="15.6" x14ac:dyDescent="0.3">
      <c r="A247" s="262"/>
      <c r="B247" s="264" t="s">
        <v>230</v>
      </c>
      <c r="C247" s="354"/>
      <c r="D247" s="354"/>
      <c r="E247" s="354"/>
      <c r="F247" s="354"/>
      <c r="G247" s="354"/>
      <c r="H247" s="354"/>
      <c r="I247" s="354"/>
      <c r="J247" s="264">
        <v>2</v>
      </c>
      <c r="K247" s="355">
        <f t="shared" si="5"/>
        <v>1.4705882352941176E-3</v>
      </c>
      <c r="L247" s="265">
        <v>136</v>
      </c>
      <c r="M247" s="355">
        <f t="shared" si="6"/>
        <v>2.4666727124331186E-3</v>
      </c>
      <c r="N247" s="332"/>
      <c r="O247" s="356"/>
      <c r="P247" s="5"/>
      <c r="Q247" s="104"/>
    </row>
    <row r="248" spans="1:17" ht="15.6" x14ac:dyDescent="0.3">
      <c r="A248" s="262"/>
      <c r="B248" s="264" t="s">
        <v>231</v>
      </c>
      <c r="C248" s="354"/>
      <c r="D248" s="354"/>
      <c r="E248" s="354"/>
      <c r="F248" s="354"/>
      <c r="G248" s="354"/>
      <c r="H248" s="354"/>
      <c r="I248" s="354"/>
      <c r="J248" s="264">
        <v>1</v>
      </c>
      <c r="K248" s="355">
        <f t="shared" si="5"/>
        <v>7.3529411764705881E-4</v>
      </c>
      <c r="L248" s="265">
        <v>44</v>
      </c>
      <c r="M248" s="355">
        <f t="shared" si="6"/>
        <v>7.9804117166953838E-4</v>
      </c>
      <c r="N248" s="332"/>
      <c r="O248" s="356"/>
      <c r="P248" s="5"/>
      <c r="Q248" s="104"/>
    </row>
    <row r="249" spans="1:17" ht="15.6" x14ac:dyDescent="0.3">
      <c r="A249" s="262"/>
      <c r="B249" s="264" t="s">
        <v>232</v>
      </c>
      <c r="C249" s="354"/>
      <c r="D249" s="354"/>
      <c r="E249" s="354"/>
      <c r="F249" s="354"/>
      <c r="G249" s="354"/>
      <c r="H249" s="354"/>
      <c r="I249" s="354"/>
      <c r="J249" s="264">
        <v>2</v>
      </c>
      <c r="K249" s="355">
        <f t="shared" si="5"/>
        <v>1.4705882352941176E-3</v>
      </c>
      <c r="L249" s="265">
        <v>159</v>
      </c>
      <c r="M249" s="355">
        <f t="shared" si="6"/>
        <v>2.8838305976240136E-3</v>
      </c>
      <c r="N249" s="332"/>
      <c r="O249" s="356"/>
      <c r="P249" s="5"/>
      <c r="Q249" s="104"/>
    </row>
    <row r="250" spans="1:17" ht="15.6" x14ac:dyDescent="0.3">
      <c r="A250" s="262"/>
      <c r="B250" s="264" t="s">
        <v>233</v>
      </c>
      <c r="C250" s="354"/>
      <c r="D250" s="354"/>
      <c r="E250" s="354"/>
      <c r="F250" s="354"/>
      <c r="G250" s="354"/>
      <c r="H250" s="354"/>
      <c r="I250" s="354"/>
      <c r="J250" s="264">
        <v>5</v>
      </c>
      <c r="K250" s="355">
        <f t="shared" si="5"/>
        <v>3.6764705882352941E-3</v>
      </c>
      <c r="L250" s="265">
        <v>169</v>
      </c>
      <c r="M250" s="355">
        <f t="shared" si="6"/>
        <v>3.0652035911852725E-3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1360</v>
      </c>
      <c r="K252" s="355">
        <f>SUM(K238:K251)</f>
        <v>0.99999999999999978</v>
      </c>
      <c r="L252" s="265">
        <f>SUM(L238:L251)</f>
        <v>55135</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1</v>
      </c>
      <c r="K280" s="355">
        <f t="shared" si="7"/>
        <v>0.33333333333333331</v>
      </c>
      <c r="L280" s="265">
        <v>52</v>
      </c>
      <c r="M280" s="355">
        <f t="shared" si="8"/>
        <v>4.7229791099000905E-2</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1</v>
      </c>
      <c r="K283" s="355">
        <f t="shared" si="7"/>
        <v>0.33333333333333331</v>
      </c>
      <c r="L283" s="265">
        <v>990</v>
      </c>
      <c r="M283" s="355">
        <f t="shared" si="8"/>
        <v>0.89918256130790186</v>
      </c>
      <c r="N283" s="263"/>
      <c r="O283" s="266"/>
      <c r="P283" s="5"/>
    </row>
    <row r="284" spans="1:16" ht="15.6" x14ac:dyDescent="0.3">
      <c r="A284" s="262"/>
      <c r="B284" s="264" t="s">
        <v>233</v>
      </c>
      <c r="C284" s="263"/>
      <c r="D284" s="357"/>
      <c r="E284" s="357"/>
      <c r="F284" s="357"/>
      <c r="G284" s="357"/>
      <c r="H284" s="357"/>
      <c r="I284" s="357"/>
      <c r="J284" s="264">
        <v>1</v>
      </c>
      <c r="K284" s="355">
        <f t="shared" si="7"/>
        <v>0.33333333333333331</v>
      </c>
      <c r="L284" s="265">
        <v>59</v>
      </c>
      <c r="M284" s="355">
        <f t="shared" si="8"/>
        <v>5.3587647593097185E-2</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3</v>
      </c>
      <c r="K286" s="355">
        <f>SUM(K272:K284)</f>
        <v>1</v>
      </c>
      <c r="L286" s="265">
        <f>SUM(L272:L284)</f>
        <v>1101</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1363</v>
      </c>
      <c r="K288" s="355"/>
      <c r="L288" s="359">
        <f>+L286+L269+L252</f>
        <v>56236</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AUGUST 2013</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V299"/>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7.8899999999999998E-2</v>
      </c>
      <c r="L16" s="232" t="s">
        <v>133</v>
      </c>
      <c r="M16" s="231">
        <v>0.92110000000000003</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41628</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52862.014600000002</v>
      </c>
      <c r="E29" s="279"/>
      <c r="F29" s="279">
        <f>F28*F32</f>
        <v>1687.0145399999999</v>
      </c>
      <c r="G29" s="279"/>
      <c r="H29" s="279">
        <f>H28*H32</f>
        <v>1687.0145399999999</v>
      </c>
      <c r="I29" s="279"/>
      <c r="J29" s="284"/>
      <c r="K29" s="279"/>
      <c r="L29" s="279"/>
      <c r="M29" s="280"/>
      <c r="N29" s="279">
        <f>SUM(D29:H29)</f>
        <v>56236.043679999995</v>
      </c>
      <c r="O29" s="281"/>
      <c r="P29" s="5"/>
    </row>
    <row r="30" spans="1:16" ht="15.6" x14ac:dyDescent="0.3">
      <c r="A30" s="274"/>
      <c r="B30" s="275" t="s">
        <v>130</v>
      </c>
      <c r="C30" s="278"/>
      <c r="D30" s="285">
        <f>D28*D31</f>
        <v>48763.515999999996</v>
      </c>
      <c r="E30" s="285"/>
      <c r="F30" s="285">
        <f>F28*F31</f>
        <v>1598.20047</v>
      </c>
      <c r="G30" s="285"/>
      <c r="H30" s="285">
        <f>H28*H31</f>
        <v>1598.20047</v>
      </c>
      <c r="I30" s="285"/>
      <c r="J30" s="288"/>
      <c r="K30" s="279"/>
      <c r="L30" s="279"/>
      <c r="M30" s="280"/>
      <c r="N30" s="285">
        <f>SUM(D30:I30)</f>
        <v>51959.916940000003</v>
      </c>
      <c r="O30" s="281"/>
      <c r="P30" s="5"/>
    </row>
    <row r="31" spans="1:16" ht="15.6" x14ac:dyDescent="0.3">
      <c r="A31" s="262"/>
      <c r="B31" s="290" t="s">
        <v>126</v>
      </c>
      <c r="C31" s="291"/>
      <c r="D31" s="292">
        <v>0.187192</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0.2029252</v>
      </c>
      <c r="E32" s="292"/>
      <c r="F32" s="292">
        <v>0.41654679999999999</v>
      </c>
      <c r="G32" s="292"/>
      <c r="H32" s="292">
        <v>0.41654679999999999</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7.5738000000000003E-3</v>
      </c>
      <c r="E34" s="297"/>
      <c r="F34" s="298">
        <v>8.7738E-3</v>
      </c>
      <c r="G34" s="297"/>
      <c r="H34" s="298">
        <v>1.07738E-2</v>
      </c>
      <c r="I34" s="297"/>
      <c r="J34" s="298"/>
      <c r="K34" s="297"/>
      <c r="L34" s="298"/>
      <c r="M34" s="268"/>
      <c r="N34" s="297">
        <f>SUMPRODUCT(D34:H34,D29:H29)/N29</f>
        <v>7.7057947757747398E-3</v>
      </c>
      <c r="O34" s="266"/>
      <c r="P34" s="5"/>
    </row>
    <row r="35" spans="1:17" ht="15.6" x14ac:dyDescent="0.3">
      <c r="A35" s="274"/>
      <c r="B35" s="263" t="s">
        <v>11</v>
      </c>
      <c r="C35" s="263"/>
      <c r="D35" s="298">
        <v>7.4850000000000003E-3</v>
      </c>
      <c r="E35" s="297"/>
      <c r="F35" s="298">
        <v>8.685E-3</v>
      </c>
      <c r="G35" s="297"/>
      <c r="H35" s="298">
        <v>1.0685E-2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6.554902521795189E-2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41624</v>
      </c>
      <c r="O45" s="266"/>
      <c r="P45" s="5"/>
    </row>
    <row r="46" spans="1:17" ht="15.6" x14ac:dyDescent="0.3">
      <c r="A46" s="274"/>
      <c r="B46" s="263" t="s">
        <v>119</v>
      </c>
      <c r="C46" s="263"/>
      <c r="D46" s="305"/>
      <c r="E46" s="305"/>
      <c r="F46" s="305"/>
      <c r="G46" s="305"/>
      <c r="H46" s="305"/>
      <c r="I46" s="305"/>
      <c r="J46" s="263">
        <f>+N46-L46+1</f>
        <v>91</v>
      </c>
      <c r="K46" s="305"/>
      <c r="L46" s="306">
        <v>41442</v>
      </c>
      <c r="M46" s="307"/>
      <c r="N46" s="306">
        <v>41532</v>
      </c>
      <c r="O46" s="266"/>
      <c r="P46" s="5"/>
    </row>
    <row r="47" spans="1:17" ht="15.6" x14ac:dyDescent="0.3">
      <c r="A47" s="274"/>
      <c r="B47" s="263" t="s">
        <v>120</v>
      </c>
      <c r="C47" s="263"/>
      <c r="D47" s="263"/>
      <c r="E47" s="263"/>
      <c r="F47" s="263"/>
      <c r="G47" s="263"/>
      <c r="H47" s="263"/>
      <c r="I47" s="263"/>
      <c r="J47" s="263">
        <f>+N47-L47+1</f>
        <v>91</v>
      </c>
      <c r="K47" s="263"/>
      <c r="L47" s="306">
        <v>41533</v>
      </c>
      <c r="M47" s="307"/>
      <c r="N47" s="306">
        <v>41623</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41610</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276</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56236</v>
      </c>
      <c r="G56" s="264"/>
      <c r="H56" s="264">
        <f>4276+635+951</f>
        <v>5862</v>
      </c>
      <c r="I56" s="264"/>
      <c r="J56" s="264">
        <f>635+951</f>
        <v>1586</v>
      </c>
      <c r="K56" s="264"/>
      <c r="L56" s="264">
        <v>0</v>
      </c>
      <c r="M56" s="264"/>
      <c r="N56" s="265">
        <f>+F56-H56+J56-L56</f>
        <v>51960</v>
      </c>
      <c r="O56" s="266"/>
      <c r="P56" s="5"/>
    </row>
    <row r="57" spans="1:16" ht="15.6" x14ac:dyDescent="0.3">
      <c r="A57" s="262"/>
      <c r="B57" s="263" t="s">
        <v>209</v>
      </c>
      <c r="C57" s="264"/>
      <c r="D57" s="264">
        <v>756</v>
      </c>
      <c r="E57" s="264"/>
      <c r="F57" s="265">
        <v>346</v>
      </c>
      <c r="G57" s="264"/>
      <c r="H57" s="264">
        <v>16</v>
      </c>
      <c r="I57" s="264"/>
      <c r="J57" s="264">
        <v>0</v>
      </c>
      <c r="K57" s="264"/>
      <c r="L57" s="264">
        <v>0</v>
      </c>
      <c r="M57" s="264"/>
      <c r="N57" s="265">
        <f>+F57-H57</f>
        <v>330</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56582</v>
      </c>
      <c r="G59" s="264"/>
      <c r="H59" s="264">
        <f>SUM(H56:H58)</f>
        <v>5878</v>
      </c>
      <c r="I59" s="264"/>
      <c r="J59" s="264">
        <f>SUM(J56:J58)</f>
        <v>1586</v>
      </c>
      <c r="K59" s="264"/>
      <c r="L59" s="264">
        <f>SUM(L56:L58)</f>
        <v>0</v>
      </c>
      <c r="M59" s="264"/>
      <c r="N59" s="264">
        <f>SUM(N56:N58)</f>
        <v>52290</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-346</v>
      </c>
      <c r="G68" s="264"/>
      <c r="H68" s="264"/>
      <c r="I68" s="264"/>
      <c r="J68" s="264"/>
      <c r="K68" s="264"/>
      <c r="L68" s="264"/>
      <c r="M68" s="264"/>
      <c r="N68" s="265">
        <f>-N57</f>
        <v>-330</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56236</v>
      </c>
      <c r="G72" s="264"/>
      <c r="H72" s="264"/>
      <c r="I72" s="264"/>
      <c r="J72" s="264"/>
      <c r="K72" s="264"/>
      <c r="L72" s="264"/>
      <c r="M72" s="264"/>
      <c r="N72" s="264">
        <f>SUM(N59:N71)</f>
        <v>51960</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41607</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5862-1</f>
        <v>5861</v>
      </c>
      <c r="M77" s="263"/>
      <c r="N77" s="265"/>
      <c r="O77" s="266"/>
      <c r="P77" s="5"/>
    </row>
    <row r="78" spans="1:16" ht="15.6" x14ac:dyDescent="0.3">
      <c r="A78" s="262"/>
      <c r="B78" s="263" t="s">
        <v>176</v>
      </c>
      <c r="C78" s="263"/>
      <c r="D78" s="300"/>
      <c r="E78" s="263"/>
      <c r="F78" s="309"/>
      <c r="G78" s="263"/>
      <c r="H78" s="263"/>
      <c r="I78" s="263"/>
      <c r="J78" s="263"/>
      <c r="K78" s="263"/>
      <c r="L78" s="264"/>
      <c r="M78" s="263"/>
      <c r="N78" s="265">
        <f>795+87+1707-1269-51-1454</f>
        <v>-185</v>
      </c>
      <c r="O78" s="266"/>
      <c r="P78" s="5"/>
    </row>
    <row r="79" spans="1:16" ht="15.6" x14ac:dyDescent="0.3">
      <c r="A79" s="262"/>
      <c r="B79" s="263" t="s">
        <v>174</v>
      </c>
      <c r="C79" s="263"/>
      <c r="D79" s="300"/>
      <c r="E79" s="263"/>
      <c r="F79" s="309"/>
      <c r="G79" s="263"/>
      <c r="H79" s="263"/>
      <c r="I79" s="263"/>
      <c r="J79" s="263"/>
      <c r="K79" s="263"/>
      <c r="L79" s="264"/>
      <c r="M79" s="263"/>
      <c r="N79" s="265">
        <f>223+18</f>
        <v>241</v>
      </c>
      <c r="O79" s="266"/>
      <c r="P79" s="5"/>
    </row>
    <row r="80" spans="1:16" ht="15.6" x14ac:dyDescent="0.3">
      <c r="A80" s="262"/>
      <c r="B80" s="263" t="s">
        <v>175</v>
      </c>
      <c r="C80" s="263"/>
      <c r="D80" s="300"/>
      <c r="E80" s="263"/>
      <c r="F80" s="309"/>
      <c r="G80" s="263"/>
      <c r="H80" s="263"/>
      <c r="I80" s="263"/>
      <c r="J80" s="263"/>
      <c r="K80" s="263"/>
      <c r="L80" s="264"/>
      <c r="M80" s="263"/>
      <c r="N80" s="265">
        <v>4</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5861</v>
      </c>
      <c r="M83" s="263"/>
      <c r="N83" s="264">
        <f>SUM(N76:N82)</f>
        <v>60</v>
      </c>
      <c r="O83" s="266"/>
      <c r="P83" s="5"/>
    </row>
    <row r="84" spans="1:17" ht="15.6" x14ac:dyDescent="0.3">
      <c r="A84" s="262"/>
      <c r="B84" s="263" t="s">
        <v>148</v>
      </c>
      <c r="C84" s="263"/>
      <c r="D84" s="263"/>
      <c r="E84" s="263"/>
      <c r="F84" s="263"/>
      <c r="G84" s="263"/>
      <c r="H84" s="263"/>
      <c r="I84" s="263"/>
      <c r="J84" s="263"/>
      <c r="K84" s="263"/>
      <c r="L84" s="264">
        <v>-635</v>
      </c>
      <c r="M84" s="263"/>
      <c r="N84" s="264">
        <f>-L84</f>
        <v>635</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5226</v>
      </c>
      <c r="M87" s="263"/>
      <c r="N87" s="264">
        <f>N83+N85+N84+N86</f>
        <v>695</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-21-1-122</f>
        <v>-144</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-100</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-5</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1</v>
      </c>
      <c r="M98" s="263"/>
      <c r="N98" s="265">
        <v>-1</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-21</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-410</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-951</v>
      </c>
      <c r="M107" s="264"/>
      <c r="N107" s="265"/>
      <c r="O107" s="266"/>
      <c r="P107" s="5"/>
    </row>
    <row r="108" spans="1:16" ht="15.6" x14ac:dyDescent="0.3">
      <c r="A108" s="274"/>
      <c r="B108" s="263" t="s">
        <v>200</v>
      </c>
      <c r="C108" s="263"/>
      <c r="D108" s="263"/>
      <c r="E108" s="263"/>
      <c r="F108" s="263"/>
      <c r="G108" s="263"/>
      <c r="H108" s="263"/>
      <c r="I108" s="263"/>
      <c r="J108" s="263"/>
      <c r="K108" s="263"/>
      <c r="L108" s="264">
        <v>-4098</v>
      </c>
      <c r="M108" s="264"/>
      <c r="N108" s="265"/>
      <c r="O108" s="266"/>
      <c r="P108" s="5"/>
    </row>
    <row r="109" spans="1:16" ht="15.6" x14ac:dyDescent="0.3">
      <c r="A109" s="274"/>
      <c r="B109" s="263" t="s">
        <v>201</v>
      </c>
      <c r="C109" s="263"/>
      <c r="D109" s="263"/>
      <c r="E109" s="263"/>
      <c r="F109" s="263"/>
      <c r="G109" s="263"/>
      <c r="H109" s="263"/>
      <c r="I109" s="263"/>
      <c r="J109" s="263"/>
      <c r="K109" s="263"/>
      <c r="L109" s="264">
        <v>-89</v>
      </c>
      <c r="M109" s="264"/>
      <c r="N109" s="265"/>
      <c r="O109" s="266"/>
      <c r="P109" s="5"/>
    </row>
    <row r="110" spans="1:16" ht="15.6" x14ac:dyDescent="0.3">
      <c r="A110" s="274"/>
      <c r="B110" s="263" t="s">
        <v>202</v>
      </c>
      <c r="C110" s="263"/>
      <c r="D110" s="263"/>
      <c r="E110" s="263"/>
      <c r="F110" s="263"/>
      <c r="G110" s="263"/>
      <c r="H110" s="263"/>
      <c r="I110" s="263"/>
      <c r="J110" s="263"/>
      <c r="K110" s="263"/>
      <c r="L110" s="264">
        <v>-89</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-5227</v>
      </c>
      <c r="M111" s="264"/>
      <c r="N111" s="264">
        <f>SUM(N88:N109)</f>
        <v>-695</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NOVEMBER 2013</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183</v>
      </c>
      <c r="C133" s="263"/>
      <c r="D133" s="263"/>
      <c r="E133" s="263"/>
      <c r="F133" s="263"/>
      <c r="G133" s="263"/>
      <c r="H133" s="263"/>
      <c r="I133" s="263"/>
      <c r="J133" s="263"/>
      <c r="K133" s="263"/>
      <c r="L133" s="263"/>
      <c r="M133" s="263"/>
      <c r="N133" s="265">
        <v>3350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v>
      </c>
      <c r="O144" s="266"/>
      <c r="P144" s="5"/>
    </row>
    <row r="145" spans="1:256" ht="15.6" x14ac:dyDescent="0.3">
      <c r="A145" s="262"/>
      <c r="B145" s="263" t="s">
        <v>51</v>
      </c>
      <c r="C145" s="263"/>
      <c r="D145" s="263"/>
      <c r="E145" s="263"/>
      <c r="F145" s="263"/>
      <c r="G145" s="263"/>
      <c r="H145" s="263"/>
      <c r="I145" s="263"/>
      <c r="J145" s="263"/>
      <c r="K145" s="263"/>
      <c r="L145" s="263"/>
      <c r="M145" s="263"/>
      <c r="N145" s="265">
        <f>+N143+N144</f>
        <v>1</v>
      </c>
      <c r="O145" s="266"/>
      <c r="P145" s="5"/>
    </row>
    <row r="146" spans="1:256" ht="15.6" x14ac:dyDescent="0.3">
      <c r="A146" s="262"/>
      <c r="B146" s="263" t="s">
        <v>264</v>
      </c>
      <c r="C146" s="263"/>
      <c r="D146" s="263"/>
      <c r="E146" s="263"/>
      <c r="F146" s="263"/>
      <c r="G146" s="263"/>
      <c r="H146" s="263"/>
      <c r="I146" s="263"/>
      <c r="J146" s="263"/>
      <c r="K146" s="263"/>
      <c r="L146" s="263"/>
      <c r="M146" s="263"/>
      <c r="N146" s="265">
        <f>N98</f>
        <v>-1</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51960</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51960</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+'Aug 13'!N161</f>
        <v>346</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16</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330</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+'Aug 13'!L168</f>
        <v>18691</v>
      </c>
      <c r="M166" s="263"/>
      <c r="N166" s="265">
        <f>K166+L166</f>
        <v>18691</v>
      </c>
      <c r="O166" s="266"/>
      <c r="P166" s="5"/>
    </row>
    <row r="167" spans="1:256" ht="15.6" x14ac:dyDescent="0.3">
      <c r="A167" s="262"/>
      <c r="B167" s="263" t="s">
        <v>58</v>
      </c>
      <c r="C167" s="263"/>
      <c r="D167" s="263"/>
      <c r="E167" s="263"/>
      <c r="F167" s="263"/>
      <c r="G167" s="263"/>
      <c r="H167" s="263"/>
      <c r="I167" s="263"/>
      <c r="J167" s="263"/>
      <c r="K167" s="264">
        <v>0</v>
      </c>
      <c r="L167" s="264">
        <f>-L107</f>
        <v>951</v>
      </c>
      <c r="M167" s="263"/>
      <c r="N167" s="265">
        <f>K167+L167</f>
        <v>951</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5.49</v>
      </c>
      <c r="O173" s="266" t="s">
        <v>115</v>
      </c>
      <c r="P173" s="5"/>
    </row>
    <row r="174" spans="1:256" ht="15.6" x14ac:dyDescent="0.3">
      <c r="A174" s="262"/>
      <c r="B174" s="263" t="s">
        <v>63</v>
      </c>
      <c r="C174" s="263"/>
      <c r="D174" s="263"/>
      <c r="E174" s="263"/>
      <c r="F174" s="263"/>
      <c r="G174" s="263"/>
      <c r="H174" s="263"/>
      <c r="I174" s="263"/>
      <c r="J174" s="263"/>
      <c r="K174" s="263"/>
      <c r="L174" s="263"/>
      <c r="M174" s="263"/>
      <c r="N174" s="315">
        <v>2.09</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112.25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47.84</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89</v>
      </c>
      <c r="O177" s="266" t="s">
        <v>115</v>
      </c>
      <c r="P177" s="5"/>
    </row>
    <row r="178" spans="1:16" ht="15.6" x14ac:dyDescent="0.3">
      <c r="A178" s="262"/>
      <c r="B178" s="263" t="s">
        <v>167</v>
      </c>
      <c r="C178" s="263"/>
      <c r="D178" s="263"/>
      <c r="E178" s="263"/>
      <c r="F178" s="263"/>
      <c r="G178" s="263"/>
      <c r="H178" s="263"/>
      <c r="I178" s="263"/>
      <c r="J178" s="263"/>
      <c r="K178" s="263"/>
      <c r="L178" s="263"/>
      <c r="M178" s="263"/>
      <c r="N178" s="315">
        <v>44.99</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NOVEMBER 2013</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41607</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4.9759999999999999E-2</v>
      </c>
      <c r="M188" s="263"/>
      <c r="N188" s="263"/>
      <c r="O188" s="266"/>
      <c r="P188" s="5"/>
    </row>
    <row r="189" spans="1:16" ht="15.6" x14ac:dyDescent="0.3">
      <c r="A189" s="321"/>
      <c r="B189" s="263" t="s">
        <v>212</v>
      </c>
      <c r="C189" s="322"/>
      <c r="D189" s="303"/>
      <c r="E189" s="303"/>
      <c r="F189" s="303"/>
      <c r="G189" s="303"/>
      <c r="H189" s="303"/>
      <c r="I189" s="303"/>
      <c r="J189" s="303"/>
      <c r="K189" s="303"/>
      <c r="L189" s="297">
        <f>N34</f>
        <v>7.7057947757747398E-3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4.2054205224225261E-2</v>
      </c>
      <c r="M190" s="263"/>
      <c r="N190" s="263"/>
      <c r="O190" s="266"/>
      <c r="P190" s="5"/>
    </row>
    <row r="191" spans="1:16" ht="15.6" x14ac:dyDescent="0.3">
      <c r="A191" s="321"/>
      <c r="B191" s="263" t="s">
        <v>203</v>
      </c>
      <c r="C191" s="322"/>
      <c r="D191" s="303"/>
      <c r="E191" s="303"/>
      <c r="F191" s="303"/>
      <c r="G191" s="303"/>
      <c r="H191" s="303"/>
      <c r="I191" s="303"/>
      <c r="J191" s="303"/>
      <c r="K191" s="303"/>
      <c r="L191" s="297">
        <f>+N87/F59</f>
        <v>1.2283058216393906E-2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4.9000000000000004</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0.10423927733124688</v>
      </c>
      <c r="M197" s="263"/>
      <c r="N197" s="263"/>
      <c r="O197" s="266"/>
      <c r="P197" s="5"/>
    </row>
    <row r="198" spans="1:16" ht="15.6" x14ac:dyDescent="0.3">
      <c r="A198" s="321"/>
      <c r="B198" s="263" t="s">
        <v>74</v>
      </c>
      <c r="C198" s="322"/>
      <c r="D198" s="303"/>
      <c r="E198" s="303"/>
      <c r="F198" s="303"/>
      <c r="G198" s="303"/>
      <c r="H198" s="303"/>
      <c r="I198" s="303"/>
      <c r="J198" s="303"/>
      <c r="K198" s="303"/>
      <c r="L198" s="297">
        <v>0.27050000000000002</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7</v>
      </c>
      <c r="L201" s="331">
        <v>524</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2</v>
      </c>
      <c r="L203" s="331">
        <f>+L286</f>
        <v>1050</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v>
      </c>
      <c r="M207" s="291"/>
      <c r="N207" s="337"/>
      <c r="O207" s="342"/>
      <c r="P207" s="5"/>
    </row>
    <row r="208" spans="1:16" ht="15.6" x14ac:dyDescent="0.3">
      <c r="A208" s="330"/>
      <c r="B208" s="263" t="s">
        <v>82</v>
      </c>
      <c r="C208" s="264"/>
      <c r="D208" s="263"/>
      <c r="E208" s="263"/>
      <c r="F208" s="263"/>
      <c r="G208" s="263"/>
      <c r="H208" s="263"/>
      <c r="I208" s="263"/>
      <c r="J208" s="263"/>
      <c r="K208" s="276"/>
      <c r="L208" s="331">
        <f>'Aug 13'!L208+L207</f>
        <v>39</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1</v>
      </c>
      <c r="L210" s="331">
        <v>52</v>
      </c>
      <c r="M210" s="291"/>
      <c r="N210" s="337"/>
      <c r="O210" s="342"/>
      <c r="P210" s="5"/>
    </row>
    <row r="211" spans="1:17" ht="15.6" x14ac:dyDescent="0.3">
      <c r="A211" s="347"/>
      <c r="B211" s="263" t="s">
        <v>83</v>
      </c>
      <c r="C211" s="300"/>
      <c r="D211" s="263"/>
      <c r="E211" s="263"/>
      <c r="F211" s="263"/>
      <c r="G211" s="263"/>
      <c r="H211" s="263"/>
      <c r="I211" s="263"/>
      <c r="J211" s="263"/>
      <c r="K211" s="263"/>
      <c r="L211" s="339">
        <v>12.27</v>
      </c>
      <c r="M211" s="291"/>
      <c r="N211" s="337"/>
      <c r="O211" s="342"/>
      <c r="P211" s="5"/>
    </row>
    <row r="212" spans="1:17" ht="15.6" x14ac:dyDescent="0.3">
      <c r="A212" s="347"/>
      <c r="B212" s="263" t="s">
        <v>84</v>
      </c>
      <c r="C212" s="300"/>
      <c r="D212" s="263"/>
      <c r="E212" s="263"/>
      <c r="F212" s="263"/>
      <c r="G212" s="263"/>
      <c r="H212" s="263"/>
      <c r="I212" s="263"/>
      <c r="J212" s="263"/>
      <c r="K212" s="263"/>
      <c r="L212" s="339">
        <v>4.1100000000000003</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1154</v>
      </c>
      <c r="K221" s="355">
        <f t="shared" ref="K221:K233" si="2">J221/$J$235</f>
        <v>0.94667760459392947</v>
      </c>
      <c r="L221" s="265">
        <f t="shared" ref="L221:L233" si="3">+L238+L255+L272</f>
        <v>47655</v>
      </c>
      <c r="M221" s="355">
        <f t="shared" ref="M221:M233" si="4">L221/$L$235</f>
        <v>0.91714780600461898</v>
      </c>
      <c r="N221" s="332"/>
      <c r="O221" s="356"/>
      <c r="P221" s="5"/>
    </row>
    <row r="222" spans="1:17" ht="15.6" x14ac:dyDescent="0.3">
      <c r="A222" s="262"/>
      <c r="B222" s="264" t="s">
        <v>86</v>
      </c>
      <c r="C222" s="354"/>
      <c r="D222" s="354"/>
      <c r="E222" s="354"/>
      <c r="F222" s="354"/>
      <c r="G222" s="354"/>
      <c r="H222" s="354"/>
      <c r="I222" s="354"/>
      <c r="J222" s="264">
        <f t="shared" si="1"/>
        <v>15</v>
      </c>
      <c r="K222" s="355">
        <f t="shared" si="2"/>
        <v>1.2305168170631665E-2</v>
      </c>
      <c r="L222" s="265">
        <f t="shared" si="3"/>
        <v>811</v>
      </c>
      <c r="M222" s="355">
        <f t="shared" si="4"/>
        <v>1.560816012317167E-2</v>
      </c>
      <c r="N222" s="332"/>
      <c r="O222" s="356"/>
      <c r="P222" s="5"/>
      <c r="Q222" s="104"/>
    </row>
    <row r="223" spans="1:17" ht="15.6" x14ac:dyDescent="0.3">
      <c r="A223" s="262"/>
      <c r="B223" s="264" t="s">
        <v>87</v>
      </c>
      <c r="C223" s="354"/>
      <c r="D223" s="354"/>
      <c r="E223" s="354"/>
      <c r="F223" s="354"/>
      <c r="G223" s="354"/>
      <c r="H223" s="354"/>
      <c r="I223" s="354"/>
      <c r="J223" s="264">
        <f t="shared" si="1"/>
        <v>11</v>
      </c>
      <c r="K223" s="355">
        <f t="shared" si="2"/>
        <v>9.0237899917965554E-3</v>
      </c>
      <c r="L223" s="265">
        <f t="shared" si="3"/>
        <v>632</v>
      </c>
      <c r="M223" s="355">
        <f t="shared" si="4"/>
        <v>1.2163202463433411E-2</v>
      </c>
      <c r="N223" s="332"/>
      <c r="O223" s="356"/>
      <c r="P223" s="5"/>
    </row>
    <row r="224" spans="1:17" ht="15.6" x14ac:dyDescent="0.3">
      <c r="A224" s="262"/>
      <c r="B224" s="264" t="s">
        <v>145</v>
      </c>
      <c r="C224" s="354"/>
      <c r="D224" s="354"/>
      <c r="E224" s="354"/>
      <c r="F224" s="354"/>
      <c r="G224" s="354"/>
      <c r="H224" s="354"/>
      <c r="I224" s="354"/>
      <c r="J224" s="264">
        <f t="shared" si="1"/>
        <v>7</v>
      </c>
      <c r="K224" s="355">
        <f t="shared" si="2"/>
        <v>5.742411812961444E-3</v>
      </c>
      <c r="L224" s="265">
        <f t="shared" si="3"/>
        <v>375</v>
      </c>
      <c r="M224" s="355">
        <f t="shared" si="4"/>
        <v>7.2170900692840644E-3</v>
      </c>
      <c r="N224" s="332"/>
      <c r="O224" s="356"/>
      <c r="P224" s="5"/>
      <c r="Q224" s="104"/>
    </row>
    <row r="225" spans="1:17" ht="15.6" x14ac:dyDescent="0.3">
      <c r="A225" s="262"/>
      <c r="B225" s="264" t="s">
        <v>146</v>
      </c>
      <c r="C225" s="354"/>
      <c r="D225" s="354"/>
      <c r="E225" s="354"/>
      <c r="F225" s="354"/>
      <c r="G225" s="354"/>
      <c r="H225" s="354"/>
      <c r="I225" s="354"/>
      <c r="J225" s="264">
        <f t="shared" si="1"/>
        <v>4</v>
      </c>
      <c r="K225" s="355">
        <f t="shared" si="2"/>
        <v>3.2813781788351109E-3</v>
      </c>
      <c r="L225" s="265">
        <f t="shared" si="3"/>
        <v>223</v>
      </c>
      <c r="M225" s="355">
        <f t="shared" si="4"/>
        <v>4.2917628945342567E-3</v>
      </c>
      <c r="N225" s="332"/>
      <c r="O225" s="356"/>
      <c r="P225" s="5"/>
    </row>
    <row r="226" spans="1:17" ht="15.6" x14ac:dyDescent="0.3">
      <c r="A226" s="262"/>
      <c r="B226" s="264" t="s">
        <v>147</v>
      </c>
      <c r="C226" s="354"/>
      <c r="D226" s="354"/>
      <c r="E226" s="354"/>
      <c r="F226" s="354"/>
      <c r="G226" s="354"/>
      <c r="H226" s="354"/>
      <c r="I226" s="354"/>
      <c r="J226" s="264">
        <f t="shared" si="1"/>
        <v>6</v>
      </c>
      <c r="K226" s="355">
        <f t="shared" si="2"/>
        <v>4.9220672682526662E-3</v>
      </c>
      <c r="L226" s="265">
        <f t="shared" si="3"/>
        <v>293</v>
      </c>
      <c r="M226" s="355">
        <f t="shared" si="4"/>
        <v>5.6389530408006159E-3</v>
      </c>
      <c r="N226" s="332"/>
      <c r="O226" s="356"/>
      <c r="P226" s="5"/>
      <c r="Q226" s="104"/>
    </row>
    <row r="227" spans="1:17" ht="15.6" x14ac:dyDescent="0.3">
      <c r="A227" s="262"/>
      <c r="B227" s="264" t="s">
        <v>227</v>
      </c>
      <c r="C227" s="354"/>
      <c r="D227" s="354"/>
      <c r="E227" s="354"/>
      <c r="F227" s="354"/>
      <c r="G227" s="354"/>
      <c r="H227" s="354"/>
      <c r="I227" s="354"/>
      <c r="J227" s="264">
        <f t="shared" si="1"/>
        <v>2</v>
      </c>
      <c r="K227" s="355">
        <f t="shared" si="2"/>
        <v>1.6406890894175555E-3</v>
      </c>
      <c r="L227" s="265">
        <f t="shared" si="3"/>
        <v>48</v>
      </c>
      <c r="M227" s="355">
        <f t="shared" si="4"/>
        <v>9.2378752886836026E-4</v>
      </c>
      <c r="N227" s="332"/>
      <c r="O227" s="356"/>
      <c r="P227" s="5"/>
    </row>
    <row r="228" spans="1:17" ht="15.6" x14ac:dyDescent="0.3">
      <c r="A228" s="262"/>
      <c r="B228" s="264" t="s">
        <v>228</v>
      </c>
      <c r="C228" s="354"/>
      <c r="D228" s="354"/>
      <c r="E228" s="354"/>
      <c r="F228" s="354"/>
      <c r="G228" s="354"/>
      <c r="H228" s="354"/>
      <c r="I228" s="354"/>
      <c r="J228" s="264">
        <f t="shared" si="1"/>
        <v>5</v>
      </c>
      <c r="K228" s="355">
        <f t="shared" si="2"/>
        <v>4.1017227235438884E-3</v>
      </c>
      <c r="L228" s="265">
        <f t="shared" si="3"/>
        <v>303</v>
      </c>
      <c r="M228" s="355">
        <f t="shared" si="4"/>
        <v>5.8314087759815244E-3</v>
      </c>
      <c r="N228" s="332"/>
      <c r="O228" s="356"/>
      <c r="P228" s="5"/>
      <c r="Q228" s="104"/>
    </row>
    <row r="229" spans="1:17" ht="15.6" x14ac:dyDescent="0.3">
      <c r="A229" s="262"/>
      <c r="B229" s="264" t="s">
        <v>229</v>
      </c>
      <c r="C229" s="354"/>
      <c r="D229" s="354"/>
      <c r="E229" s="354"/>
      <c r="F229" s="354"/>
      <c r="G229" s="354"/>
      <c r="H229" s="354"/>
      <c r="I229" s="354"/>
      <c r="J229" s="264">
        <f t="shared" si="1"/>
        <v>3</v>
      </c>
      <c r="K229" s="355">
        <f t="shared" si="2"/>
        <v>2.4610336341263331E-3</v>
      </c>
      <c r="L229" s="265">
        <f t="shared" si="3"/>
        <v>75</v>
      </c>
      <c r="M229" s="355">
        <f t="shared" si="4"/>
        <v>1.443418013856813E-3</v>
      </c>
      <c r="N229" s="332"/>
      <c r="O229" s="356"/>
      <c r="P229" s="5"/>
      <c r="Q229" s="104"/>
    </row>
    <row r="230" spans="1:17" ht="15.6" x14ac:dyDescent="0.3">
      <c r="A230" s="262"/>
      <c r="B230" s="264" t="s">
        <v>230</v>
      </c>
      <c r="C230" s="354"/>
      <c r="D230" s="354"/>
      <c r="E230" s="354"/>
      <c r="F230" s="354"/>
      <c r="G230" s="354"/>
      <c r="H230" s="354"/>
      <c r="I230" s="354"/>
      <c r="J230" s="264">
        <f t="shared" si="1"/>
        <v>2</v>
      </c>
      <c r="K230" s="355">
        <f t="shared" si="2"/>
        <v>1.6406890894175555E-3</v>
      </c>
      <c r="L230" s="265">
        <f t="shared" si="3"/>
        <v>136</v>
      </c>
      <c r="M230" s="355">
        <f t="shared" si="4"/>
        <v>2.6173979984603539E-3</v>
      </c>
      <c r="N230" s="332"/>
      <c r="O230" s="356"/>
      <c r="P230" s="5"/>
      <c r="Q230" s="104"/>
    </row>
    <row r="231" spans="1:17" ht="15.6" x14ac:dyDescent="0.3">
      <c r="A231" s="262"/>
      <c r="B231" s="264" t="s">
        <v>231</v>
      </c>
      <c r="C231" s="354"/>
      <c r="D231" s="354"/>
      <c r="E231" s="354"/>
      <c r="F231" s="354"/>
      <c r="G231" s="354"/>
      <c r="H231" s="354"/>
      <c r="I231" s="354"/>
      <c r="J231" s="264">
        <f t="shared" si="1"/>
        <v>1</v>
      </c>
      <c r="K231" s="355">
        <f t="shared" si="2"/>
        <v>8.2034454470877774E-4</v>
      </c>
      <c r="L231" s="265">
        <f t="shared" si="3"/>
        <v>44</v>
      </c>
      <c r="M231" s="355">
        <f t="shared" si="4"/>
        <v>8.4680523479599694E-4</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8.2034454470877774E-4</v>
      </c>
      <c r="L232" s="265">
        <f t="shared" si="3"/>
        <v>134</v>
      </c>
      <c r="M232" s="355">
        <f t="shared" si="4"/>
        <v>2.5789068514241727E-3</v>
      </c>
      <c r="N232" s="332"/>
      <c r="O232" s="356"/>
      <c r="P232" s="5"/>
      <c r="Q232" s="104"/>
    </row>
    <row r="233" spans="1:17" ht="15.6" x14ac:dyDescent="0.3">
      <c r="A233" s="262"/>
      <c r="B233" s="264" t="s">
        <v>233</v>
      </c>
      <c r="C233" s="354"/>
      <c r="D233" s="354"/>
      <c r="E233" s="354"/>
      <c r="F233" s="354"/>
      <c r="G233" s="354"/>
      <c r="H233" s="354"/>
      <c r="I233" s="354"/>
      <c r="J233" s="264">
        <f t="shared" si="1"/>
        <v>8</v>
      </c>
      <c r="K233" s="355">
        <f t="shared" si="2"/>
        <v>6.5627563576702219E-3</v>
      </c>
      <c r="L233" s="265">
        <f t="shared" si="3"/>
        <v>1231</v>
      </c>
      <c r="M233" s="355">
        <f t="shared" si="4"/>
        <v>2.3691301000769823E-2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1219</v>
      </c>
      <c r="K235" s="355">
        <f>SUM(K221:K234)</f>
        <v>0.99999999999999989</v>
      </c>
      <c r="L235" s="265">
        <f>SUM(L221:L234)</f>
        <v>51960</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1154</v>
      </c>
      <c r="K238" s="355">
        <f t="shared" ref="K238:K250" si="5">J238/$J$252</f>
        <v>0.94823336072308961</v>
      </c>
      <c r="L238" s="265">
        <v>47655</v>
      </c>
      <c r="M238" s="355">
        <f t="shared" ref="M238:M250" si="6">L238/$L$252</f>
        <v>0.93606364172068357</v>
      </c>
      <c r="N238" s="332"/>
      <c r="O238" s="356"/>
      <c r="P238" s="5"/>
    </row>
    <row r="239" spans="1:17" ht="15.6" x14ac:dyDescent="0.3">
      <c r="A239" s="262"/>
      <c r="B239" s="264" t="s">
        <v>86</v>
      </c>
      <c r="C239" s="354"/>
      <c r="D239" s="354"/>
      <c r="E239" s="354"/>
      <c r="F239" s="354"/>
      <c r="G239" s="354"/>
      <c r="H239" s="354"/>
      <c r="I239" s="354"/>
      <c r="J239" s="264">
        <v>15</v>
      </c>
      <c r="K239" s="355">
        <f t="shared" si="5"/>
        <v>1.2325390304026294E-2</v>
      </c>
      <c r="L239" s="265">
        <v>811</v>
      </c>
      <c r="M239" s="355">
        <f t="shared" si="6"/>
        <v>1.5930072677273619E-2</v>
      </c>
      <c r="N239" s="332"/>
      <c r="O239" s="356"/>
      <c r="P239" s="5"/>
      <c r="Q239" s="104"/>
    </row>
    <row r="240" spans="1:17" ht="15.6" x14ac:dyDescent="0.3">
      <c r="A240" s="262"/>
      <c r="B240" s="264" t="s">
        <v>87</v>
      </c>
      <c r="C240" s="354"/>
      <c r="D240" s="354"/>
      <c r="E240" s="354"/>
      <c r="F240" s="354"/>
      <c r="G240" s="354"/>
      <c r="H240" s="354"/>
      <c r="I240" s="354"/>
      <c r="J240" s="264">
        <v>11</v>
      </c>
      <c r="K240" s="355">
        <f t="shared" si="5"/>
        <v>9.0386195562859491E-3</v>
      </c>
      <c r="L240" s="265">
        <v>632</v>
      </c>
      <c r="M240" s="355">
        <f t="shared" si="6"/>
        <v>1.241406403457081E-2</v>
      </c>
      <c r="N240" s="332"/>
      <c r="O240" s="356"/>
      <c r="P240" s="5"/>
    </row>
    <row r="241" spans="1:17" ht="15.6" x14ac:dyDescent="0.3">
      <c r="A241" s="262"/>
      <c r="B241" s="264" t="s">
        <v>145</v>
      </c>
      <c r="C241" s="354"/>
      <c r="D241" s="354"/>
      <c r="E241" s="354"/>
      <c r="F241" s="354"/>
      <c r="G241" s="354"/>
      <c r="H241" s="354"/>
      <c r="I241" s="354"/>
      <c r="J241" s="264">
        <v>7</v>
      </c>
      <c r="K241" s="355">
        <f t="shared" si="5"/>
        <v>5.7518488085456041E-3</v>
      </c>
      <c r="L241" s="265">
        <v>375</v>
      </c>
      <c r="M241" s="355">
        <f t="shared" si="6"/>
        <v>7.3659398939304654E-3</v>
      </c>
      <c r="N241" s="332"/>
      <c r="O241" s="356"/>
      <c r="P241" s="5"/>
      <c r="Q241" s="104"/>
    </row>
    <row r="242" spans="1:17" ht="15.6" x14ac:dyDescent="0.3">
      <c r="A242" s="262"/>
      <c r="B242" s="264" t="s">
        <v>146</v>
      </c>
      <c r="C242" s="354"/>
      <c r="D242" s="354"/>
      <c r="E242" s="354"/>
      <c r="F242" s="354"/>
      <c r="G242" s="354"/>
      <c r="H242" s="354"/>
      <c r="I242" s="354"/>
      <c r="J242" s="264">
        <v>4</v>
      </c>
      <c r="K242" s="355">
        <f t="shared" si="5"/>
        <v>3.286770747740345E-3</v>
      </c>
      <c r="L242" s="265">
        <v>223</v>
      </c>
      <c r="M242" s="355">
        <f t="shared" si="6"/>
        <v>4.3802789235906497E-3</v>
      </c>
      <c r="N242" s="332"/>
      <c r="O242" s="356"/>
      <c r="P242" s="5"/>
    </row>
    <row r="243" spans="1:17" ht="15.6" x14ac:dyDescent="0.3">
      <c r="A243" s="262"/>
      <c r="B243" s="264" t="s">
        <v>147</v>
      </c>
      <c r="C243" s="354"/>
      <c r="D243" s="354"/>
      <c r="E243" s="354"/>
      <c r="F243" s="354"/>
      <c r="G243" s="354"/>
      <c r="H243" s="354"/>
      <c r="I243" s="354"/>
      <c r="J243" s="264">
        <v>6</v>
      </c>
      <c r="K243" s="355">
        <f t="shared" si="5"/>
        <v>4.9301561216105174E-3</v>
      </c>
      <c r="L243" s="265">
        <v>293</v>
      </c>
      <c r="M243" s="355">
        <f t="shared" si="6"/>
        <v>5.7552543704576702E-3</v>
      </c>
      <c r="N243" s="332"/>
      <c r="O243" s="356"/>
      <c r="P243" s="5"/>
      <c r="Q243" s="104"/>
    </row>
    <row r="244" spans="1:17" ht="15.6" x14ac:dyDescent="0.3">
      <c r="A244" s="262"/>
      <c r="B244" s="264" t="s">
        <v>227</v>
      </c>
      <c r="C244" s="354"/>
      <c r="D244" s="354"/>
      <c r="E244" s="354"/>
      <c r="F244" s="354"/>
      <c r="G244" s="354"/>
      <c r="H244" s="354"/>
      <c r="I244" s="354"/>
      <c r="J244" s="264">
        <v>2</v>
      </c>
      <c r="K244" s="355">
        <f t="shared" si="5"/>
        <v>1.6433853738701725E-3</v>
      </c>
      <c r="L244" s="265">
        <v>48</v>
      </c>
      <c r="M244" s="355">
        <f t="shared" si="6"/>
        <v>9.4284030642309959E-4</v>
      </c>
      <c r="N244" s="332"/>
      <c r="O244" s="356"/>
      <c r="P244" s="5"/>
    </row>
    <row r="245" spans="1:17" ht="15.6" x14ac:dyDescent="0.3">
      <c r="A245" s="262"/>
      <c r="B245" s="264" t="s">
        <v>228</v>
      </c>
      <c r="C245" s="354"/>
      <c r="D245" s="354"/>
      <c r="E245" s="354"/>
      <c r="F245" s="354"/>
      <c r="G245" s="354"/>
      <c r="H245" s="354"/>
      <c r="I245" s="354"/>
      <c r="J245" s="264">
        <v>5</v>
      </c>
      <c r="K245" s="355">
        <f t="shared" si="5"/>
        <v>4.1084634346754316E-3</v>
      </c>
      <c r="L245" s="265">
        <v>303</v>
      </c>
      <c r="M245" s="355">
        <f t="shared" si="6"/>
        <v>5.951679434295816E-3</v>
      </c>
      <c r="N245" s="332"/>
      <c r="O245" s="356"/>
      <c r="P245" s="5"/>
      <c r="Q245" s="104"/>
    </row>
    <row r="246" spans="1:17" ht="15.6" x14ac:dyDescent="0.3">
      <c r="A246" s="262"/>
      <c r="B246" s="264" t="s">
        <v>229</v>
      </c>
      <c r="C246" s="354"/>
      <c r="D246" s="354"/>
      <c r="E246" s="354"/>
      <c r="F246" s="354"/>
      <c r="G246" s="354"/>
      <c r="H246" s="354"/>
      <c r="I246" s="354"/>
      <c r="J246" s="264">
        <v>3</v>
      </c>
      <c r="K246" s="355">
        <f t="shared" si="5"/>
        <v>2.4650780608052587E-3</v>
      </c>
      <c r="L246" s="265">
        <v>75</v>
      </c>
      <c r="M246" s="355">
        <f t="shared" si="6"/>
        <v>1.4731879787860931E-3</v>
      </c>
      <c r="N246" s="332"/>
      <c r="O246" s="356"/>
      <c r="P246" s="5"/>
      <c r="Q246" s="104"/>
    </row>
    <row r="247" spans="1:17" ht="15.6" x14ac:dyDescent="0.3">
      <c r="A247" s="262"/>
      <c r="B247" s="264" t="s">
        <v>230</v>
      </c>
      <c r="C247" s="354"/>
      <c r="D247" s="354"/>
      <c r="E247" s="354"/>
      <c r="F247" s="354"/>
      <c r="G247" s="354"/>
      <c r="H247" s="354"/>
      <c r="I247" s="354"/>
      <c r="J247" s="264">
        <v>2</v>
      </c>
      <c r="K247" s="355">
        <f t="shared" si="5"/>
        <v>1.6433853738701725E-3</v>
      </c>
      <c r="L247" s="265">
        <v>136</v>
      </c>
      <c r="M247" s="355">
        <f t="shared" si="6"/>
        <v>2.6713808681987821E-3</v>
      </c>
      <c r="N247" s="332"/>
      <c r="O247" s="356"/>
      <c r="P247" s="5"/>
      <c r="Q247" s="104"/>
    </row>
    <row r="248" spans="1:17" ht="15.6" x14ac:dyDescent="0.3">
      <c r="A248" s="262"/>
      <c r="B248" s="264" t="s">
        <v>231</v>
      </c>
      <c r="C248" s="354"/>
      <c r="D248" s="354"/>
      <c r="E248" s="354"/>
      <c r="F248" s="354"/>
      <c r="G248" s="354"/>
      <c r="H248" s="354"/>
      <c r="I248" s="354"/>
      <c r="J248" s="264">
        <v>1</v>
      </c>
      <c r="K248" s="355">
        <f t="shared" si="5"/>
        <v>8.2169268693508624E-4</v>
      </c>
      <c r="L248" s="265">
        <v>44</v>
      </c>
      <c r="M248" s="355">
        <f t="shared" si="6"/>
        <v>8.642702808878413E-4</v>
      </c>
      <c r="N248" s="332"/>
      <c r="O248" s="356"/>
      <c r="P248" s="5"/>
      <c r="Q248" s="104"/>
    </row>
    <row r="249" spans="1:17" ht="15.6" x14ac:dyDescent="0.3">
      <c r="A249" s="262"/>
      <c r="B249" s="264" t="s">
        <v>232</v>
      </c>
      <c r="C249" s="354"/>
      <c r="D249" s="354"/>
      <c r="E249" s="354"/>
      <c r="F249" s="354"/>
      <c r="G249" s="354"/>
      <c r="H249" s="354"/>
      <c r="I249" s="354"/>
      <c r="J249" s="264">
        <v>1</v>
      </c>
      <c r="K249" s="355">
        <f t="shared" si="5"/>
        <v>8.2169268693508624E-4</v>
      </c>
      <c r="L249" s="265">
        <v>134</v>
      </c>
      <c r="M249" s="355">
        <f t="shared" si="6"/>
        <v>2.6320958554311531E-3</v>
      </c>
      <c r="N249" s="332"/>
      <c r="O249" s="356"/>
      <c r="P249" s="5"/>
      <c r="Q249" s="104"/>
    </row>
    <row r="250" spans="1:17" ht="15.6" x14ac:dyDescent="0.3">
      <c r="A250" s="262"/>
      <c r="B250" s="264" t="s">
        <v>233</v>
      </c>
      <c r="C250" s="354"/>
      <c r="D250" s="354"/>
      <c r="E250" s="354"/>
      <c r="F250" s="354"/>
      <c r="G250" s="354"/>
      <c r="H250" s="354"/>
      <c r="I250" s="354"/>
      <c r="J250" s="264">
        <v>6</v>
      </c>
      <c r="K250" s="355">
        <f t="shared" si="5"/>
        <v>4.9301561216105174E-3</v>
      </c>
      <c r="L250" s="265">
        <v>181</v>
      </c>
      <c r="M250" s="355">
        <f t="shared" si="6"/>
        <v>3.5552936554704381E-3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1217</v>
      </c>
      <c r="K252" s="355">
        <f>SUM(K238:K251)</f>
        <v>1</v>
      </c>
      <c r="L252" s="265">
        <f>SUM(L238:L251)</f>
        <v>50910</v>
      </c>
      <c r="M252" s="355">
        <f>SUM(M238:M251)</f>
        <v>0.99999999999999989</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2</v>
      </c>
      <c r="K284" s="355">
        <f t="shared" si="7"/>
        <v>1</v>
      </c>
      <c r="L284" s="265">
        <v>1050</v>
      </c>
      <c r="M284" s="355">
        <f t="shared" si="8"/>
        <v>1</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2</v>
      </c>
      <c r="K286" s="355">
        <f>SUM(K272:K284)</f>
        <v>1</v>
      </c>
      <c r="L286" s="265">
        <f>SUM(L272:L284)</f>
        <v>1050</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1219</v>
      </c>
      <c r="K288" s="355"/>
      <c r="L288" s="359">
        <f>+L286+L269+L252</f>
        <v>51960</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NOVEMBER 2013</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299"/>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8.4000000000000005E-2</v>
      </c>
      <c r="L16" s="232" t="s">
        <v>133</v>
      </c>
      <c r="M16" s="231">
        <v>0.91600000000000004</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41722</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48763.515999999996</v>
      </c>
      <c r="E29" s="279"/>
      <c r="F29" s="279">
        <f>F28*F32</f>
        <v>1598.20047</v>
      </c>
      <c r="G29" s="279"/>
      <c r="H29" s="279">
        <f>H28*H32</f>
        <v>1598.20047</v>
      </c>
      <c r="I29" s="279"/>
      <c r="J29" s="284"/>
      <c r="K29" s="279"/>
      <c r="L29" s="279"/>
      <c r="M29" s="280"/>
      <c r="N29" s="279">
        <f>SUM(D29:H29)</f>
        <v>51959.916940000003</v>
      </c>
      <c r="O29" s="281"/>
      <c r="P29" s="5"/>
    </row>
    <row r="30" spans="1:16" ht="15.6" x14ac:dyDescent="0.3">
      <c r="A30" s="274"/>
      <c r="B30" s="275" t="s">
        <v>130</v>
      </c>
      <c r="C30" s="278"/>
      <c r="D30" s="285">
        <f>D28*D31</f>
        <v>44528.775900000001</v>
      </c>
      <c r="E30" s="285"/>
      <c r="F30" s="285">
        <f>F28*F31</f>
        <v>1598.20047</v>
      </c>
      <c r="G30" s="285"/>
      <c r="H30" s="285">
        <f>H28*H31</f>
        <v>1598.20047</v>
      </c>
      <c r="I30" s="285"/>
      <c r="J30" s="288"/>
      <c r="K30" s="279"/>
      <c r="L30" s="279"/>
      <c r="M30" s="280"/>
      <c r="N30" s="285">
        <f>SUM(D30:I30)</f>
        <v>47725.176840000007</v>
      </c>
      <c r="O30" s="281"/>
      <c r="P30" s="5"/>
    </row>
    <row r="31" spans="1:16" ht="15.6" x14ac:dyDescent="0.3">
      <c r="A31" s="262"/>
      <c r="B31" s="290" t="s">
        <v>126</v>
      </c>
      <c r="C31" s="291"/>
      <c r="D31" s="292">
        <v>0.1709358</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0.187192</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7.6518999999999997E-3</v>
      </c>
      <c r="E34" s="297"/>
      <c r="F34" s="298">
        <v>8.8518999999999994E-3</v>
      </c>
      <c r="G34" s="297"/>
      <c r="H34" s="298">
        <v>1.0851899999999999E-2</v>
      </c>
      <c r="I34" s="297"/>
      <c r="J34" s="298"/>
      <c r="K34" s="297"/>
      <c r="L34" s="298"/>
      <c r="M34" s="268"/>
      <c r="N34" s="297">
        <f>SUMPRODUCT(D34:H34,D29:H29)/N29</f>
        <v>7.7872366687656595E-3</v>
      </c>
      <c r="O34" s="266"/>
      <c r="P34" s="5"/>
    </row>
    <row r="35" spans="1:17" ht="15.6" x14ac:dyDescent="0.3">
      <c r="A35" s="274"/>
      <c r="B35" s="263" t="s">
        <v>11</v>
      </c>
      <c r="C35" s="263"/>
      <c r="D35" s="298">
        <v>7.5738000000000003E-3</v>
      </c>
      <c r="E35" s="297"/>
      <c r="F35" s="298">
        <v>8.7738E-3</v>
      </c>
      <c r="G35" s="297"/>
      <c r="H35" s="298">
        <v>1.07738E-2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7.1782816288915766E-2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41715</v>
      </c>
      <c r="O45" s="266"/>
      <c r="P45" s="5"/>
    </row>
    <row r="46" spans="1:17" ht="15.6" x14ac:dyDescent="0.3">
      <c r="A46" s="274"/>
      <c r="B46" s="263" t="s">
        <v>119</v>
      </c>
      <c r="C46" s="263"/>
      <c r="D46" s="305"/>
      <c r="E46" s="305"/>
      <c r="F46" s="305"/>
      <c r="G46" s="305"/>
      <c r="H46" s="305"/>
      <c r="I46" s="305"/>
      <c r="J46" s="263">
        <f>+N46-L46+1</f>
        <v>91</v>
      </c>
      <c r="K46" s="305"/>
      <c r="L46" s="306">
        <v>41533</v>
      </c>
      <c r="M46" s="307"/>
      <c r="N46" s="306">
        <v>41623</v>
      </c>
      <c r="O46" s="266"/>
      <c r="P46" s="5"/>
    </row>
    <row r="47" spans="1:17" ht="15.6" x14ac:dyDescent="0.3">
      <c r="A47" s="274"/>
      <c r="B47" s="263" t="s">
        <v>120</v>
      </c>
      <c r="C47" s="263"/>
      <c r="D47" s="263"/>
      <c r="E47" s="263"/>
      <c r="F47" s="263"/>
      <c r="G47" s="263"/>
      <c r="H47" s="263"/>
      <c r="I47" s="263"/>
      <c r="J47" s="263">
        <f>+N47-L47+1</f>
        <v>91</v>
      </c>
      <c r="K47" s="263"/>
      <c r="L47" s="306">
        <v>41624</v>
      </c>
      <c r="M47" s="307"/>
      <c r="N47" s="306">
        <v>41714</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41701</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277</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51960</v>
      </c>
      <c r="G56" s="264"/>
      <c r="H56" s="264">
        <f>4235</f>
        <v>4235</v>
      </c>
      <c r="I56" s="264"/>
      <c r="J56" s="264">
        <v>0</v>
      </c>
      <c r="K56" s="264"/>
      <c r="L56" s="264">
        <v>0</v>
      </c>
      <c r="M56" s="264"/>
      <c r="N56" s="265">
        <f>+F56-H56+J56-L56</f>
        <v>47725</v>
      </c>
      <c r="O56" s="266"/>
      <c r="P56" s="5"/>
    </row>
    <row r="57" spans="1:16" ht="15.6" x14ac:dyDescent="0.3">
      <c r="A57" s="262"/>
      <c r="B57" s="263" t="s">
        <v>209</v>
      </c>
      <c r="C57" s="264"/>
      <c r="D57" s="264">
        <v>756</v>
      </c>
      <c r="E57" s="264"/>
      <c r="F57" s="265">
        <v>330</v>
      </c>
      <c r="G57" s="264"/>
      <c r="H57" s="264">
        <v>7</v>
      </c>
      <c r="I57" s="264"/>
      <c r="J57" s="264">
        <v>0</v>
      </c>
      <c r="K57" s="264"/>
      <c r="L57" s="264">
        <v>0</v>
      </c>
      <c r="M57" s="264"/>
      <c r="N57" s="265">
        <f>+F57-H57</f>
        <v>323</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52290</v>
      </c>
      <c r="G59" s="264"/>
      <c r="H59" s="264">
        <f>SUM(H56:H58)</f>
        <v>4242</v>
      </c>
      <c r="I59" s="264"/>
      <c r="J59" s="264">
        <f>SUM(J56:J58)</f>
        <v>0</v>
      </c>
      <c r="K59" s="264"/>
      <c r="L59" s="264">
        <f>SUM(L56:L58)</f>
        <v>0</v>
      </c>
      <c r="M59" s="264"/>
      <c r="N59" s="264">
        <f>SUM(N56:N58)</f>
        <v>48048</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-330</v>
      </c>
      <c r="G68" s="264"/>
      <c r="H68" s="264"/>
      <c r="I68" s="264"/>
      <c r="J68" s="264"/>
      <c r="K68" s="264"/>
      <c r="L68" s="264"/>
      <c r="M68" s="264"/>
      <c r="N68" s="265">
        <f>-N57</f>
        <v>-323</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51960</v>
      </c>
      <c r="G72" s="264"/>
      <c r="H72" s="264"/>
      <c r="I72" s="264"/>
      <c r="J72" s="264"/>
      <c r="K72" s="264"/>
      <c r="L72" s="264"/>
      <c r="M72" s="264"/>
      <c r="N72" s="264">
        <f>SUM(N59:N71)</f>
        <v>47725</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41698</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v>4235</v>
      </c>
      <c r="M77" s="263"/>
      <c r="N77" s="265"/>
      <c r="O77" s="266"/>
      <c r="P77" s="5"/>
    </row>
    <row r="78" spans="1:16" ht="15.6" x14ac:dyDescent="0.3">
      <c r="A78" s="262"/>
      <c r="B78" s="263" t="s">
        <v>176</v>
      </c>
      <c r="C78" s="263"/>
      <c r="D78" s="300"/>
      <c r="E78" s="263"/>
      <c r="F78" s="309"/>
      <c r="G78" s="263"/>
      <c r="H78" s="263"/>
      <c r="I78" s="263"/>
      <c r="J78" s="263"/>
      <c r="K78" s="263"/>
      <c r="L78" s="264"/>
      <c r="M78" s="263"/>
      <c r="N78" s="265">
        <f>1182+123+1236-877-65-958</f>
        <v>641</v>
      </c>
      <c r="O78" s="266"/>
      <c r="P78" s="5"/>
    </row>
    <row r="79" spans="1:16" ht="15.6" x14ac:dyDescent="0.3">
      <c r="A79" s="262"/>
      <c r="B79" s="263" t="s">
        <v>174</v>
      </c>
      <c r="C79" s="263"/>
      <c r="D79" s="300"/>
      <c r="E79" s="263"/>
      <c r="F79" s="309"/>
      <c r="G79" s="263"/>
      <c r="H79" s="263"/>
      <c r="I79" s="263"/>
      <c r="J79" s="263"/>
      <c r="K79" s="263"/>
      <c r="L79" s="264"/>
      <c r="M79" s="263"/>
      <c r="N79" s="265">
        <f>8+1+59</f>
        <v>68</v>
      </c>
      <c r="O79" s="266"/>
      <c r="P79" s="5"/>
    </row>
    <row r="80" spans="1:16" ht="15.6" x14ac:dyDescent="0.3">
      <c r="A80" s="262"/>
      <c r="B80" s="263" t="s">
        <v>175</v>
      </c>
      <c r="C80" s="263"/>
      <c r="D80" s="300"/>
      <c r="E80" s="263"/>
      <c r="F80" s="309"/>
      <c r="G80" s="263"/>
      <c r="H80" s="263"/>
      <c r="I80" s="263"/>
      <c r="J80" s="263"/>
      <c r="K80" s="263"/>
      <c r="L80" s="264"/>
      <c r="M80" s="263"/>
      <c r="N80" s="265">
        <v>3</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4235</v>
      </c>
      <c r="M83" s="263"/>
      <c r="N83" s="264">
        <f>SUM(N76:N82)</f>
        <v>712</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4235</v>
      </c>
      <c r="M87" s="263"/>
      <c r="N87" s="264">
        <f>N83+N85+N84+N86</f>
        <v>712</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-19-1-86</f>
        <v>-106</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-93</v>
      </c>
      <c r="O93" s="266"/>
      <c r="P93" s="5"/>
    </row>
    <row r="94" spans="1:17" ht="15.6" x14ac:dyDescent="0.3">
      <c r="A94" s="274" t="s">
        <v>140</v>
      </c>
      <c r="B94" s="263" t="s">
        <v>180</v>
      </c>
      <c r="C94" s="263"/>
      <c r="D94" s="263"/>
      <c r="E94" s="263"/>
      <c r="F94" s="263"/>
      <c r="G94" s="263"/>
      <c r="H94" s="263"/>
      <c r="I94" s="263"/>
      <c r="J94" s="263"/>
      <c r="K94" s="263"/>
      <c r="L94" s="263"/>
      <c r="M94" s="263"/>
      <c r="N94" s="265">
        <v>-1</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0</v>
      </c>
      <c r="M98" s="263"/>
      <c r="N98" s="265">
        <v>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-19</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-476</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-4235</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-4235</v>
      </c>
      <c r="M111" s="264"/>
      <c r="N111" s="264">
        <f>SUM(N88:N109)</f>
        <v>-712</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FEBRUARY 2014</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0</v>
      </c>
      <c r="O144" s="266"/>
      <c r="P144" s="5"/>
    </row>
    <row r="145" spans="1:256" ht="15.6" x14ac:dyDescent="0.3">
      <c r="A145" s="262"/>
      <c r="B145" s="263" t="s">
        <v>51</v>
      </c>
      <c r="C145" s="263"/>
      <c r="D145" s="263"/>
      <c r="E145" s="263"/>
      <c r="F145" s="263"/>
      <c r="G145" s="263"/>
      <c r="H145" s="263"/>
      <c r="I145" s="263"/>
      <c r="J145" s="263"/>
      <c r="K145" s="263"/>
      <c r="L145" s="263"/>
      <c r="M145" s="263"/>
      <c r="N145" s="265">
        <f>+N143+N144</f>
        <v>0</v>
      </c>
      <c r="O145" s="266"/>
      <c r="P145" s="5"/>
    </row>
    <row r="146" spans="1:256" ht="15.6" x14ac:dyDescent="0.3">
      <c r="A146" s="262"/>
      <c r="B146" s="263" t="s">
        <v>264</v>
      </c>
      <c r="C146" s="263"/>
      <c r="D146" s="263"/>
      <c r="E146" s="263"/>
      <c r="F146" s="263"/>
      <c r="G146" s="263"/>
      <c r="H146" s="263"/>
      <c r="I146" s="263"/>
      <c r="J146" s="263"/>
      <c r="K146" s="263"/>
      <c r="L146" s="263"/>
      <c r="M146" s="263"/>
      <c r="N146" s="265">
        <f>N98</f>
        <v>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47725</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47725</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+'Nov 13'!N161</f>
        <v>330</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7</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323</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+'Nov 13'!L168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6.4946236559139781</v>
      </c>
      <c r="O173" s="266" t="s">
        <v>115</v>
      </c>
      <c r="P173" s="5"/>
    </row>
    <row r="174" spans="1:256" ht="15.6" x14ac:dyDescent="0.3">
      <c r="A174" s="262"/>
      <c r="B174" s="263" t="s">
        <v>63</v>
      </c>
      <c r="C174" s="263"/>
      <c r="D174" s="263"/>
      <c r="E174" s="263"/>
      <c r="F174" s="263"/>
      <c r="G174" s="263"/>
      <c r="H174" s="263"/>
      <c r="I174" s="263"/>
      <c r="J174" s="263"/>
      <c r="K174" s="263"/>
      <c r="L174" s="263"/>
      <c r="M174" s="263"/>
      <c r="N174" s="315">
        <v>2.1</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127.75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48.32</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126.75</v>
      </c>
      <c r="O177" s="266" t="s">
        <v>115</v>
      </c>
      <c r="P177" s="5"/>
    </row>
    <row r="178" spans="1:16" ht="15.6" x14ac:dyDescent="0.3">
      <c r="A178" s="262"/>
      <c r="B178" s="263" t="s">
        <v>167</v>
      </c>
      <c r="C178" s="263"/>
      <c r="D178" s="263"/>
      <c r="E178" s="263"/>
      <c r="F178" s="263"/>
      <c r="G178" s="263"/>
      <c r="H178" s="263"/>
      <c r="I178" s="263"/>
      <c r="J178" s="263"/>
      <c r="K178" s="263"/>
      <c r="L178" s="263"/>
      <c r="M178" s="263"/>
      <c r="N178" s="315">
        <v>45.47</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FEBRUARY 2014</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41698</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4.9230000000000003E-2</v>
      </c>
      <c r="M188" s="263"/>
      <c r="N188" s="263"/>
      <c r="O188" s="266"/>
      <c r="P188" s="5"/>
    </row>
    <row r="189" spans="1:16" ht="15.6" x14ac:dyDescent="0.3">
      <c r="A189" s="321"/>
      <c r="B189" s="263" t="s">
        <v>212</v>
      </c>
      <c r="C189" s="322"/>
      <c r="D189" s="303"/>
      <c r="E189" s="303"/>
      <c r="F189" s="303"/>
      <c r="G189" s="303"/>
      <c r="H189" s="303"/>
      <c r="I189" s="303"/>
      <c r="J189" s="303"/>
      <c r="K189" s="303"/>
      <c r="L189" s="297">
        <f>N34</f>
        <v>7.7872366687656595E-3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4.1442763331234346E-2</v>
      </c>
      <c r="M190" s="263"/>
      <c r="N190" s="263"/>
      <c r="O190" s="266"/>
      <c r="P190" s="5"/>
    </row>
    <row r="191" spans="1:16" ht="15.6" x14ac:dyDescent="0.3">
      <c r="A191" s="321"/>
      <c r="B191" s="263" t="s">
        <v>203</v>
      </c>
      <c r="C191" s="322"/>
      <c r="D191" s="303"/>
      <c r="E191" s="303"/>
      <c r="F191" s="303"/>
      <c r="G191" s="303"/>
      <c r="H191" s="303"/>
      <c r="I191" s="303"/>
      <c r="J191" s="303"/>
      <c r="K191" s="303"/>
      <c r="L191" s="297">
        <f>+N87/F59</f>
        <v>1.3616370242876267E-2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4.8</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8.1505003849114702E-2</v>
      </c>
      <c r="M197" s="263"/>
      <c r="N197" s="263"/>
      <c r="O197" s="266"/>
      <c r="P197" s="5"/>
    </row>
    <row r="198" spans="1:16" ht="15.6" x14ac:dyDescent="0.3">
      <c r="A198" s="321"/>
      <c r="B198" s="263" t="s">
        <v>74</v>
      </c>
      <c r="C198" s="322"/>
      <c r="D198" s="303"/>
      <c r="E198" s="303"/>
      <c r="F198" s="303"/>
      <c r="G198" s="303"/>
      <c r="H198" s="303"/>
      <c r="I198" s="303"/>
      <c r="J198" s="303"/>
      <c r="K198" s="303"/>
      <c r="L198" s="297">
        <v>0.27110000000000001</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4</v>
      </c>
      <c r="L201" s="331">
        <v>373</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1</v>
      </c>
      <c r="L203" s="331">
        <f>+L286</f>
        <v>990</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0</v>
      </c>
      <c r="M207" s="291"/>
      <c r="N207" s="337"/>
      <c r="O207" s="342"/>
      <c r="P207" s="5"/>
    </row>
    <row r="208" spans="1:16" ht="15.6" x14ac:dyDescent="0.3">
      <c r="A208" s="330"/>
      <c r="B208" s="263" t="s">
        <v>82</v>
      </c>
      <c r="C208" s="264"/>
      <c r="D208" s="263"/>
      <c r="E208" s="263"/>
      <c r="F208" s="263"/>
      <c r="G208" s="263"/>
      <c r="H208" s="263"/>
      <c r="I208" s="263"/>
      <c r="J208" s="263"/>
      <c r="K208" s="276"/>
      <c r="L208" s="331">
        <f>'Nov 13'!L208+L207</f>
        <v>39</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1</v>
      </c>
      <c r="L210" s="331">
        <v>59</v>
      </c>
      <c r="M210" s="291"/>
      <c r="N210" s="337"/>
      <c r="O210" s="342"/>
      <c r="P210" s="5"/>
    </row>
    <row r="211" spans="1:17" ht="15.6" x14ac:dyDescent="0.3">
      <c r="A211" s="347"/>
      <c r="B211" s="263" t="s">
        <v>83</v>
      </c>
      <c r="C211" s="300"/>
      <c r="D211" s="263"/>
      <c r="E211" s="263"/>
      <c r="F211" s="263"/>
      <c r="G211" s="263"/>
      <c r="H211" s="263"/>
      <c r="I211" s="263"/>
      <c r="J211" s="263"/>
      <c r="K211" s="263"/>
      <c r="L211" s="339">
        <v>27.52</v>
      </c>
      <c r="M211" s="291"/>
      <c r="N211" s="337"/>
      <c r="O211" s="342"/>
      <c r="P211" s="5"/>
    </row>
    <row r="212" spans="1:17" ht="15.6" x14ac:dyDescent="0.3">
      <c r="A212" s="347"/>
      <c r="B212" s="263" t="s">
        <v>84</v>
      </c>
      <c r="C212" s="300"/>
      <c r="D212" s="263"/>
      <c r="E212" s="263"/>
      <c r="F212" s="263"/>
      <c r="G212" s="263"/>
      <c r="H212" s="263"/>
      <c r="I212" s="263"/>
      <c r="J212" s="263"/>
      <c r="K212" s="263"/>
      <c r="L212" s="339">
        <v>5.68</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1072</v>
      </c>
      <c r="K221" s="355">
        <f t="shared" ref="K221:K233" si="2">J221/$J$235</f>
        <v>0.94783377541998237</v>
      </c>
      <c r="L221" s="265">
        <f t="shared" ref="L221:L233" si="3">+L238+L255+L272</f>
        <v>43818</v>
      </c>
      <c r="M221" s="355">
        <f t="shared" ref="M221:M233" si="4">L221/$L$235</f>
        <v>0.91813514929282347</v>
      </c>
      <c r="N221" s="332"/>
      <c r="O221" s="356"/>
      <c r="P221" s="5"/>
    </row>
    <row r="222" spans="1:17" ht="15.6" x14ac:dyDescent="0.3">
      <c r="A222" s="262"/>
      <c r="B222" s="264" t="s">
        <v>86</v>
      </c>
      <c r="C222" s="354"/>
      <c r="D222" s="354"/>
      <c r="E222" s="354"/>
      <c r="F222" s="354"/>
      <c r="G222" s="354"/>
      <c r="H222" s="354"/>
      <c r="I222" s="354"/>
      <c r="J222" s="264">
        <f t="shared" si="1"/>
        <v>12</v>
      </c>
      <c r="K222" s="355">
        <f t="shared" si="2"/>
        <v>1.0610079575596816E-2</v>
      </c>
      <c r="L222" s="265">
        <f t="shared" si="3"/>
        <v>625</v>
      </c>
      <c r="M222" s="355">
        <f t="shared" si="4"/>
        <v>1.3095861707700367E-2</v>
      </c>
      <c r="N222" s="332"/>
      <c r="O222" s="356"/>
      <c r="P222" s="5"/>
      <c r="Q222" s="104"/>
    </row>
    <row r="223" spans="1:17" ht="15.6" x14ac:dyDescent="0.3">
      <c r="A223" s="262"/>
      <c r="B223" s="264" t="s">
        <v>87</v>
      </c>
      <c r="C223" s="354"/>
      <c r="D223" s="354"/>
      <c r="E223" s="354"/>
      <c r="F223" s="354"/>
      <c r="G223" s="354"/>
      <c r="H223" s="354"/>
      <c r="I223" s="354"/>
      <c r="J223" s="264">
        <f t="shared" si="1"/>
        <v>14</v>
      </c>
      <c r="K223" s="355">
        <f t="shared" si="2"/>
        <v>1.237842617152962E-2</v>
      </c>
      <c r="L223" s="265">
        <f t="shared" si="3"/>
        <v>734</v>
      </c>
      <c r="M223" s="355">
        <f t="shared" si="4"/>
        <v>1.537977998952331E-2</v>
      </c>
      <c r="N223" s="332"/>
      <c r="O223" s="356"/>
      <c r="P223" s="5"/>
    </row>
    <row r="224" spans="1:17" ht="15.6" x14ac:dyDescent="0.3">
      <c r="A224" s="262"/>
      <c r="B224" s="264" t="s">
        <v>145</v>
      </c>
      <c r="C224" s="354"/>
      <c r="D224" s="354"/>
      <c r="E224" s="354"/>
      <c r="F224" s="354"/>
      <c r="G224" s="354"/>
      <c r="H224" s="354"/>
      <c r="I224" s="354"/>
      <c r="J224" s="264">
        <f t="shared" si="1"/>
        <v>5</v>
      </c>
      <c r="K224" s="355">
        <f t="shared" si="2"/>
        <v>4.4208664898320073E-3</v>
      </c>
      <c r="L224" s="265">
        <f t="shared" si="3"/>
        <v>209</v>
      </c>
      <c r="M224" s="355">
        <f t="shared" si="4"/>
        <v>4.3792561550550025E-3</v>
      </c>
      <c r="N224" s="332"/>
      <c r="O224" s="356"/>
      <c r="P224" s="5"/>
      <c r="Q224" s="104"/>
    </row>
    <row r="225" spans="1:17" ht="15.6" x14ac:dyDescent="0.3">
      <c r="A225" s="262"/>
      <c r="B225" s="264" t="s">
        <v>146</v>
      </c>
      <c r="C225" s="354"/>
      <c r="D225" s="354"/>
      <c r="E225" s="354"/>
      <c r="F225" s="354"/>
      <c r="G225" s="354"/>
      <c r="H225" s="354"/>
      <c r="I225" s="354"/>
      <c r="J225" s="264">
        <f t="shared" si="1"/>
        <v>4</v>
      </c>
      <c r="K225" s="355">
        <f t="shared" si="2"/>
        <v>3.5366931918656055E-3</v>
      </c>
      <c r="L225" s="265">
        <f t="shared" si="3"/>
        <v>178</v>
      </c>
      <c r="M225" s="355">
        <f t="shared" si="4"/>
        <v>3.7297014143530646E-3</v>
      </c>
      <c r="N225" s="332"/>
      <c r="O225" s="356"/>
      <c r="P225" s="5"/>
    </row>
    <row r="226" spans="1:17" ht="15.6" x14ac:dyDescent="0.3">
      <c r="A226" s="262"/>
      <c r="B226" s="264" t="s">
        <v>147</v>
      </c>
      <c r="C226" s="354"/>
      <c r="D226" s="354"/>
      <c r="E226" s="354"/>
      <c r="F226" s="354"/>
      <c r="G226" s="354"/>
      <c r="H226" s="354"/>
      <c r="I226" s="354"/>
      <c r="J226" s="264">
        <f t="shared" si="1"/>
        <v>3</v>
      </c>
      <c r="K226" s="355">
        <f t="shared" si="2"/>
        <v>2.6525198938992041E-3</v>
      </c>
      <c r="L226" s="265">
        <f t="shared" si="3"/>
        <v>147</v>
      </c>
      <c r="M226" s="355">
        <f t="shared" si="4"/>
        <v>3.0801466736511264E-3</v>
      </c>
      <c r="N226" s="332"/>
      <c r="O226" s="356"/>
      <c r="P226" s="5"/>
      <c r="Q226" s="104"/>
    </row>
    <row r="227" spans="1:17" ht="15.6" x14ac:dyDescent="0.3">
      <c r="A227" s="262"/>
      <c r="B227" s="264" t="s">
        <v>227</v>
      </c>
      <c r="C227" s="354"/>
      <c r="D227" s="354"/>
      <c r="E227" s="354"/>
      <c r="F227" s="354"/>
      <c r="G227" s="354"/>
      <c r="H227" s="354"/>
      <c r="I227" s="354"/>
      <c r="J227" s="264">
        <f t="shared" si="1"/>
        <v>5</v>
      </c>
      <c r="K227" s="355">
        <f t="shared" si="2"/>
        <v>4.4208664898320073E-3</v>
      </c>
      <c r="L227" s="265">
        <f t="shared" si="3"/>
        <v>262</v>
      </c>
      <c r="M227" s="355">
        <f t="shared" si="4"/>
        <v>5.4897852278679941E-3</v>
      </c>
      <c r="N227" s="332"/>
      <c r="O227" s="356"/>
      <c r="P227" s="5"/>
    </row>
    <row r="228" spans="1:17" ht="15.6" x14ac:dyDescent="0.3">
      <c r="A228" s="262"/>
      <c r="B228" s="264" t="s">
        <v>228</v>
      </c>
      <c r="C228" s="354"/>
      <c r="D228" s="354"/>
      <c r="E228" s="354"/>
      <c r="F228" s="354"/>
      <c r="G228" s="354"/>
      <c r="H228" s="354"/>
      <c r="I228" s="354"/>
      <c r="J228" s="264">
        <f t="shared" si="1"/>
        <v>3</v>
      </c>
      <c r="K228" s="355">
        <f t="shared" si="2"/>
        <v>2.6525198938992041E-3</v>
      </c>
      <c r="L228" s="265">
        <f t="shared" si="3"/>
        <v>197</v>
      </c>
      <c r="M228" s="355">
        <f t="shared" si="4"/>
        <v>4.1278156102671553E-3</v>
      </c>
      <c r="N228" s="332"/>
      <c r="O228" s="356"/>
      <c r="P228" s="5"/>
      <c r="Q228" s="104"/>
    </row>
    <row r="229" spans="1:17" ht="15.6" x14ac:dyDescent="0.3">
      <c r="A229" s="262"/>
      <c r="B229" s="264" t="s">
        <v>229</v>
      </c>
      <c r="C229" s="354"/>
      <c r="D229" s="354"/>
      <c r="E229" s="354"/>
      <c r="F229" s="354"/>
      <c r="G229" s="354"/>
      <c r="H229" s="354"/>
      <c r="I229" s="354"/>
      <c r="J229" s="264">
        <f t="shared" si="1"/>
        <v>2</v>
      </c>
      <c r="K229" s="355">
        <f t="shared" si="2"/>
        <v>1.7683465959328027E-3</v>
      </c>
      <c r="L229" s="265">
        <f t="shared" si="3"/>
        <v>22</v>
      </c>
      <c r="M229" s="355">
        <f t="shared" si="4"/>
        <v>4.6097433211105291E-4</v>
      </c>
      <c r="N229" s="332"/>
      <c r="O229" s="356"/>
      <c r="P229" s="5"/>
      <c r="Q229" s="104"/>
    </row>
    <row r="230" spans="1:17" ht="15.6" x14ac:dyDescent="0.3">
      <c r="A230" s="262"/>
      <c r="B230" s="264" t="s">
        <v>230</v>
      </c>
      <c r="C230" s="354"/>
      <c r="D230" s="354"/>
      <c r="E230" s="354"/>
      <c r="F230" s="354"/>
      <c r="G230" s="354"/>
      <c r="H230" s="354"/>
      <c r="I230" s="354"/>
      <c r="J230" s="264">
        <f t="shared" si="1"/>
        <v>3</v>
      </c>
      <c r="K230" s="355">
        <f t="shared" si="2"/>
        <v>2.6525198938992041E-3</v>
      </c>
      <c r="L230" s="265">
        <f t="shared" si="3"/>
        <v>120</v>
      </c>
      <c r="M230" s="355">
        <f t="shared" si="4"/>
        <v>2.5144054478784704E-3</v>
      </c>
      <c r="N230" s="332"/>
      <c r="O230" s="356"/>
      <c r="P230" s="5"/>
      <c r="Q230" s="104"/>
    </row>
    <row r="231" spans="1:17" ht="15.6" x14ac:dyDescent="0.3">
      <c r="A231" s="262"/>
      <c r="B231" s="264" t="s">
        <v>231</v>
      </c>
      <c r="C231" s="354"/>
      <c r="D231" s="354"/>
      <c r="E231" s="354"/>
      <c r="F231" s="354"/>
      <c r="G231" s="354"/>
      <c r="H231" s="354"/>
      <c r="I231" s="354"/>
      <c r="J231" s="264">
        <f t="shared" si="1"/>
        <v>1</v>
      </c>
      <c r="K231" s="355">
        <f t="shared" si="2"/>
        <v>8.8417329796640137E-4</v>
      </c>
      <c r="L231" s="265">
        <f t="shared" si="3"/>
        <v>111</v>
      </c>
      <c r="M231" s="355">
        <f t="shared" si="4"/>
        <v>2.325825039287585E-3</v>
      </c>
      <c r="N231" s="332"/>
      <c r="O231" s="356"/>
      <c r="P231" s="5"/>
      <c r="Q231" s="104"/>
    </row>
    <row r="232" spans="1:17" ht="15.6" x14ac:dyDescent="0.3">
      <c r="A232" s="262"/>
      <c r="B232" s="264" t="s">
        <v>232</v>
      </c>
      <c r="C232" s="354"/>
      <c r="D232" s="354"/>
      <c r="E232" s="354"/>
      <c r="F232" s="354"/>
      <c r="G232" s="354"/>
      <c r="H232" s="354"/>
      <c r="I232" s="354"/>
      <c r="J232" s="264">
        <f t="shared" si="1"/>
        <v>2</v>
      </c>
      <c r="K232" s="355">
        <f t="shared" si="2"/>
        <v>1.7683465959328027E-3</v>
      </c>
      <c r="L232" s="265">
        <f t="shared" si="3"/>
        <v>141</v>
      </c>
      <c r="M232" s="355">
        <f t="shared" si="4"/>
        <v>2.9544264012572028E-3</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4.4208664898320073E-3</v>
      </c>
      <c r="L233" s="265">
        <f t="shared" si="3"/>
        <v>1161</v>
      </c>
      <c r="M233" s="355">
        <f t="shared" si="4"/>
        <v>2.4326872708224201E-2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1131</v>
      </c>
      <c r="K235" s="355">
        <f>SUM(K221:K234)</f>
        <v>1.0000000000000002</v>
      </c>
      <c r="L235" s="265">
        <f>SUM(L221:L234)</f>
        <v>47725</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1072</v>
      </c>
      <c r="K238" s="355">
        <f t="shared" ref="K238:K250" si="5">J238/$J$252</f>
        <v>0.9486725663716814</v>
      </c>
      <c r="L238" s="265">
        <v>43818</v>
      </c>
      <c r="M238" s="355">
        <f t="shared" ref="M238:M250" si="6">L238/$L$252</f>
        <v>0.93758425163153958</v>
      </c>
      <c r="N238" s="332"/>
      <c r="O238" s="356"/>
      <c r="P238" s="5"/>
    </row>
    <row r="239" spans="1:17" ht="15.6" x14ac:dyDescent="0.3">
      <c r="A239" s="262"/>
      <c r="B239" s="264" t="s">
        <v>86</v>
      </c>
      <c r="C239" s="354"/>
      <c r="D239" s="354"/>
      <c r="E239" s="354"/>
      <c r="F239" s="354"/>
      <c r="G239" s="354"/>
      <c r="H239" s="354"/>
      <c r="I239" s="354"/>
      <c r="J239" s="264">
        <v>12</v>
      </c>
      <c r="K239" s="355">
        <f t="shared" si="5"/>
        <v>1.0619469026548672E-2</v>
      </c>
      <c r="L239" s="265">
        <v>625</v>
      </c>
      <c r="M239" s="355">
        <f t="shared" si="6"/>
        <v>1.3373274847544667E-2</v>
      </c>
      <c r="N239" s="332"/>
      <c r="O239" s="356"/>
      <c r="P239" s="5"/>
      <c r="Q239" s="104"/>
    </row>
    <row r="240" spans="1:17" ht="15.6" x14ac:dyDescent="0.3">
      <c r="A240" s="262"/>
      <c r="B240" s="264" t="s">
        <v>87</v>
      </c>
      <c r="C240" s="354"/>
      <c r="D240" s="354"/>
      <c r="E240" s="354"/>
      <c r="F240" s="354"/>
      <c r="G240" s="354"/>
      <c r="H240" s="354"/>
      <c r="I240" s="354"/>
      <c r="J240" s="264">
        <v>14</v>
      </c>
      <c r="K240" s="355">
        <f t="shared" si="5"/>
        <v>1.2389380530973451E-2</v>
      </c>
      <c r="L240" s="265">
        <v>734</v>
      </c>
      <c r="M240" s="355">
        <f t="shared" si="6"/>
        <v>1.5705573980956455E-2</v>
      </c>
      <c r="N240" s="332"/>
      <c r="O240" s="356"/>
      <c r="P240" s="5"/>
    </row>
    <row r="241" spans="1:17" ht="15.6" x14ac:dyDescent="0.3">
      <c r="A241" s="262"/>
      <c r="B241" s="264" t="s">
        <v>145</v>
      </c>
      <c r="C241" s="354"/>
      <c r="D241" s="354"/>
      <c r="E241" s="354"/>
      <c r="F241" s="354"/>
      <c r="G241" s="354"/>
      <c r="H241" s="354"/>
      <c r="I241" s="354"/>
      <c r="J241" s="264">
        <v>5</v>
      </c>
      <c r="K241" s="355">
        <f t="shared" si="5"/>
        <v>4.4247787610619468E-3</v>
      </c>
      <c r="L241" s="265">
        <v>209</v>
      </c>
      <c r="M241" s="355">
        <f t="shared" si="6"/>
        <v>4.4720231090189366E-3</v>
      </c>
      <c r="N241" s="332"/>
      <c r="O241" s="356"/>
      <c r="P241" s="5"/>
      <c r="Q241" s="104"/>
    </row>
    <row r="242" spans="1:17" ht="15.6" x14ac:dyDescent="0.3">
      <c r="A242" s="262"/>
      <c r="B242" s="264" t="s">
        <v>146</v>
      </c>
      <c r="C242" s="354"/>
      <c r="D242" s="354"/>
      <c r="E242" s="354"/>
      <c r="F242" s="354"/>
      <c r="G242" s="354"/>
      <c r="H242" s="354"/>
      <c r="I242" s="354"/>
      <c r="J242" s="264">
        <v>4</v>
      </c>
      <c r="K242" s="355">
        <f t="shared" si="5"/>
        <v>3.5398230088495575E-3</v>
      </c>
      <c r="L242" s="265">
        <v>178</v>
      </c>
      <c r="M242" s="355">
        <f t="shared" si="6"/>
        <v>3.8087086765807212E-3</v>
      </c>
      <c r="N242" s="332"/>
      <c r="O242" s="356"/>
      <c r="P242" s="5"/>
    </row>
    <row r="243" spans="1:17" ht="15.6" x14ac:dyDescent="0.3">
      <c r="A243" s="262"/>
      <c r="B243" s="264" t="s">
        <v>147</v>
      </c>
      <c r="C243" s="354"/>
      <c r="D243" s="354"/>
      <c r="E243" s="354"/>
      <c r="F243" s="354"/>
      <c r="G243" s="354"/>
      <c r="H243" s="354"/>
      <c r="I243" s="354"/>
      <c r="J243" s="264">
        <v>3</v>
      </c>
      <c r="K243" s="355">
        <f t="shared" si="5"/>
        <v>2.6548672566371681E-3</v>
      </c>
      <c r="L243" s="265">
        <v>147</v>
      </c>
      <c r="M243" s="355">
        <f t="shared" si="6"/>
        <v>3.1453942441425058E-3</v>
      </c>
      <c r="N243" s="332"/>
      <c r="O243" s="356"/>
      <c r="P243" s="5"/>
      <c r="Q243" s="104"/>
    </row>
    <row r="244" spans="1:17" ht="15.6" x14ac:dyDescent="0.3">
      <c r="A244" s="262"/>
      <c r="B244" s="264" t="s">
        <v>227</v>
      </c>
      <c r="C244" s="354"/>
      <c r="D244" s="354"/>
      <c r="E244" s="354"/>
      <c r="F244" s="354"/>
      <c r="G244" s="354"/>
      <c r="H244" s="354"/>
      <c r="I244" s="354"/>
      <c r="J244" s="264">
        <v>5</v>
      </c>
      <c r="K244" s="355">
        <f t="shared" si="5"/>
        <v>4.4247787610619468E-3</v>
      </c>
      <c r="L244" s="265">
        <v>262</v>
      </c>
      <c r="M244" s="355">
        <f t="shared" si="6"/>
        <v>5.6060768160907243E-3</v>
      </c>
      <c r="N244" s="332"/>
      <c r="O244" s="356"/>
      <c r="P244" s="5"/>
    </row>
    <row r="245" spans="1:17" ht="15.6" x14ac:dyDescent="0.3">
      <c r="A245" s="262"/>
      <c r="B245" s="264" t="s">
        <v>228</v>
      </c>
      <c r="C245" s="354"/>
      <c r="D245" s="354"/>
      <c r="E245" s="354"/>
      <c r="F245" s="354"/>
      <c r="G245" s="354"/>
      <c r="H245" s="354"/>
      <c r="I245" s="354"/>
      <c r="J245" s="264">
        <v>3</v>
      </c>
      <c r="K245" s="355">
        <f t="shared" si="5"/>
        <v>2.6548672566371681E-3</v>
      </c>
      <c r="L245" s="265">
        <v>197</v>
      </c>
      <c r="M245" s="355">
        <f t="shared" si="6"/>
        <v>4.2152562319460792E-3</v>
      </c>
      <c r="N245" s="332"/>
      <c r="O245" s="356"/>
      <c r="P245" s="5"/>
      <c r="Q245" s="104"/>
    </row>
    <row r="246" spans="1:17" ht="15.6" x14ac:dyDescent="0.3">
      <c r="A246" s="262"/>
      <c r="B246" s="264" t="s">
        <v>229</v>
      </c>
      <c r="C246" s="354"/>
      <c r="D246" s="354"/>
      <c r="E246" s="354"/>
      <c r="F246" s="354"/>
      <c r="G246" s="354"/>
      <c r="H246" s="354"/>
      <c r="I246" s="354"/>
      <c r="J246" s="264">
        <v>2</v>
      </c>
      <c r="K246" s="355">
        <f t="shared" si="5"/>
        <v>1.7699115044247787E-3</v>
      </c>
      <c r="L246" s="265">
        <v>22</v>
      </c>
      <c r="M246" s="355">
        <f t="shared" si="6"/>
        <v>4.7073927463357225E-4</v>
      </c>
      <c r="N246" s="332"/>
      <c r="O246" s="356"/>
      <c r="P246" s="5"/>
      <c r="Q246" s="104"/>
    </row>
    <row r="247" spans="1:17" ht="15.6" x14ac:dyDescent="0.3">
      <c r="A247" s="262"/>
      <c r="B247" s="264" t="s">
        <v>230</v>
      </c>
      <c r="C247" s="354"/>
      <c r="D247" s="354"/>
      <c r="E247" s="354"/>
      <c r="F247" s="354"/>
      <c r="G247" s="354"/>
      <c r="H247" s="354"/>
      <c r="I247" s="354"/>
      <c r="J247" s="264">
        <v>3</v>
      </c>
      <c r="K247" s="355">
        <f t="shared" si="5"/>
        <v>2.6548672566371681E-3</v>
      </c>
      <c r="L247" s="265">
        <v>120</v>
      </c>
      <c r="M247" s="355">
        <f t="shared" si="6"/>
        <v>2.567668770728576E-3</v>
      </c>
      <c r="N247" s="332"/>
      <c r="O247" s="356"/>
      <c r="P247" s="5"/>
      <c r="Q247" s="104"/>
    </row>
    <row r="248" spans="1:17" ht="15.6" x14ac:dyDescent="0.3">
      <c r="A248" s="262"/>
      <c r="B248" s="264" t="s">
        <v>231</v>
      </c>
      <c r="C248" s="354"/>
      <c r="D248" s="354"/>
      <c r="E248" s="354"/>
      <c r="F248" s="354"/>
      <c r="G248" s="354"/>
      <c r="H248" s="354"/>
      <c r="I248" s="354"/>
      <c r="J248" s="264">
        <v>1</v>
      </c>
      <c r="K248" s="355">
        <f t="shared" si="5"/>
        <v>8.8495575221238937E-4</v>
      </c>
      <c r="L248" s="265">
        <v>111</v>
      </c>
      <c r="M248" s="355">
        <f t="shared" si="6"/>
        <v>2.375093612923933E-3</v>
      </c>
      <c r="N248" s="332"/>
      <c r="O248" s="356"/>
      <c r="P248" s="5"/>
      <c r="Q248" s="104"/>
    </row>
    <row r="249" spans="1:17" ht="15.6" x14ac:dyDescent="0.3">
      <c r="A249" s="262"/>
      <c r="B249" s="264" t="s">
        <v>232</v>
      </c>
      <c r="C249" s="354"/>
      <c r="D249" s="354"/>
      <c r="E249" s="354"/>
      <c r="F249" s="354"/>
      <c r="G249" s="354"/>
      <c r="H249" s="354"/>
      <c r="I249" s="354"/>
      <c r="J249" s="264">
        <v>2</v>
      </c>
      <c r="K249" s="355">
        <f t="shared" si="5"/>
        <v>1.7699115044247787E-3</v>
      </c>
      <c r="L249" s="265">
        <v>141</v>
      </c>
      <c r="M249" s="355">
        <f t="shared" si="6"/>
        <v>3.0170108056060767E-3</v>
      </c>
      <c r="N249" s="332"/>
      <c r="O249" s="356"/>
      <c r="P249" s="5"/>
      <c r="Q249" s="104"/>
    </row>
    <row r="250" spans="1:17" ht="15.6" x14ac:dyDescent="0.3">
      <c r="A250" s="262"/>
      <c r="B250" s="264" t="s">
        <v>233</v>
      </c>
      <c r="C250" s="354"/>
      <c r="D250" s="354"/>
      <c r="E250" s="354"/>
      <c r="F250" s="354"/>
      <c r="G250" s="354"/>
      <c r="H250" s="354"/>
      <c r="I250" s="354"/>
      <c r="J250" s="264">
        <v>4</v>
      </c>
      <c r="K250" s="355">
        <f t="shared" si="5"/>
        <v>3.5398230088495575E-3</v>
      </c>
      <c r="L250" s="265">
        <v>171</v>
      </c>
      <c r="M250" s="355">
        <f t="shared" si="6"/>
        <v>3.6589279982882209E-3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1130</v>
      </c>
      <c r="K252" s="355">
        <f>SUM(K238:K251)</f>
        <v>1</v>
      </c>
      <c r="L252" s="265">
        <f>SUM(L238:L251)</f>
        <v>46735</v>
      </c>
      <c r="M252" s="355">
        <f>SUM(M238:M251)</f>
        <v>1.0000000000000002</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1</v>
      </c>
      <c r="L284" s="265">
        <v>990</v>
      </c>
      <c r="M284" s="355">
        <f t="shared" si="8"/>
        <v>1</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1</v>
      </c>
      <c r="K286" s="355">
        <f>SUM(K272:K284)</f>
        <v>1</v>
      </c>
      <c r="L286" s="265">
        <f>SUM(L272:L284)</f>
        <v>990</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1131</v>
      </c>
      <c r="K288" s="355"/>
      <c r="L288" s="359">
        <f>+L286+L269+L252</f>
        <v>47725</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FEBRUARY 2014</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V299"/>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8.8800000000000004E-2</v>
      </c>
      <c r="L16" s="232" t="s">
        <v>133</v>
      </c>
      <c r="M16" s="231">
        <v>0.91120000000000001</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41813</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44528.775900000001</v>
      </c>
      <c r="E29" s="279"/>
      <c r="F29" s="279">
        <f>F28*F32</f>
        <v>1598.20047</v>
      </c>
      <c r="G29" s="279"/>
      <c r="H29" s="279">
        <f>H28*H32</f>
        <v>1598.20047</v>
      </c>
      <c r="I29" s="279"/>
      <c r="J29" s="284"/>
      <c r="K29" s="279"/>
      <c r="L29" s="279"/>
      <c r="M29" s="280"/>
      <c r="N29" s="279">
        <f>SUM(D29:H29)</f>
        <v>47725.176840000007</v>
      </c>
      <c r="O29" s="281"/>
      <c r="P29" s="5"/>
    </row>
    <row r="30" spans="1:16" ht="15.6" x14ac:dyDescent="0.3">
      <c r="A30" s="274"/>
      <c r="B30" s="275" t="s">
        <v>130</v>
      </c>
      <c r="C30" s="278"/>
      <c r="D30" s="285">
        <f>D28*D31</f>
        <v>41422.052900000002</v>
      </c>
      <c r="E30" s="285"/>
      <c r="F30" s="285">
        <f>F28*F31</f>
        <v>1598.20047</v>
      </c>
      <c r="G30" s="285"/>
      <c r="H30" s="285">
        <f>H28*H31</f>
        <v>1598.20047</v>
      </c>
      <c r="I30" s="285"/>
      <c r="J30" s="288"/>
      <c r="K30" s="279"/>
      <c r="L30" s="279"/>
      <c r="M30" s="280"/>
      <c r="N30" s="285">
        <f>SUM(D30:I30)</f>
        <v>44618.453840000009</v>
      </c>
      <c r="O30" s="281"/>
      <c r="P30" s="5"/>
    </row>
    <row r="31" spans="1:16" ht="15.6" x14ac:dyDescent="0.3">
      <c r="A31" s="262"/>
      <c r="B31" s="290" t="s">
        <v>126</v>
      </c>
      <c r="C31" s="291"/>
      <c r="D31" s="292">
        <v>0.15900980000000001</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0.1709358</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7.6062999999999999E-3</v>
      </c>
      <c r="E34" s="297"/>
      <c r="F34" s="298">
        <v>8.8062999999999995E-3</v>
      </c>
      <c r="G34" s="297"/>
      <c r="H34" s="298">
        <v>1.08063E-2</v>
      </c>
      <c r="I34" s="297"/>
      <c r="J34" s="298"/>
      <c r="K34" s="297"/>
      <c r="L34" s="298"/>
      <c r="M34" s="268"/>
      <c r="N34" s="297">
        <f>SUMPRODUCT(D34:H34,D29:H29)/N29</f>
        <v>7.7536453328748301E-3</v>
      </c>
      <c r="O34" s="266"/>
      <c r="P34" s="5"/>
    </row>
    <row r="35" spans="1:17" ht="15.6" x14ac:dyDescent="0.3">
      <c r="A35" s="274"/>
      <c r="B35" s="263" t="s">
        <v>11</v>
      </c>
      <c r="C35" s="263"/>
      <c r="D35" s="298">
        <v>7.6518999999999997E-3</v>
      </c>
      <c r="E35" s="297"/>
      <c r="F35" s="298">
        <v>8.8518999999999994E-3</v>
      </c>
      <c r="G35" s="297"/>
      <c r="H35" s="298">
        <v>1.0851899999999999E-2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7.7166647141238137E-2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41806</v>
      </c>
      <c r="O45" s="266"/>
      <c r="P45" s="5"/>
    </row>
    <row r="46" spans="1:17" ht="15.6" x14ac:dyDescent="0.3">
      <c r="A46" s="274"/>
      <c r="B46" s="263" t="s">
        <v>119</v>
      </c>
      <c r="C46" s="263"/>
      <c r="D46" s="305"/>
      <c r="E46" s="305"/>
      <c r="F46" s="305"/>
      <c r="G46" s="305"/>
      <c r="H46" s="305"/>
      <c r="I46" s="305"/>
      <c r="J46" s="263">
        <f>+N46-L46+1</f>
        <v>91</v>
      </c>
      <c r="K46" s="305"/>
      <c r="L46" s="306">
        <v>41624</v>
      </c>
      <c r="M46" s="307"/>
      <c r="N46" s="306">
        <v>41714</v>
      </c>
      <c r="O46" s="266"/>
      <c r="P46" s="5"/>
    </row>
    <row r="47" spans="1:17" ht="15.6" x14ac:dyDescent="0.3">
      <c r="A47" s="274"/>
      <c r="B47" s="263" t="s">
        <v>120</v>
      </c>
      <c r="C47" s="263"/>
      <c r="D47" s="263"/>
      <c r="E47" s="263"/>
      <c r="F47" s="263"/>
      <c r="G47" s="263"/>
      <c r="H47" s="263"/>
      <c r="I47" s="263"/>
      <c r="J47" s="263">
        <f>+N47-L47+1</f>
        <v>91</v>
      </c>
      <c r="K47" s="263"/>
      <c r="L47" s="306">
        <v>41715</v>
      </c>
      <c r="M47" s="307"/>
      <c r="N47" s="306">
        <v>41805</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41792</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279</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47725</v>
      </c>
      <c r="G56" s="264"/>
      <c r="H56" s="264">
        <v>3107</v>
      </c>
      <c r="I56" s="264"/>
      <c r="J56" s="264">
        <v>0</v>
      </c>
      <c r="K56" s="264"/>
      <c r="L56" s="264">
        <v>0</v>
      </c>
      <c r="M56" s="264"/>
      <c r="N56" s="265">
        <f>+F56-H56+J56-L56</f>
        <v>44618</v>
      </c>
      <c r="O56" s="266"/>
      <c r="P56" s="5"/>
    </row>
    <row r="57" spans="1:16" ht="15.6" x14ac:dyDescent="0.3">
      <c r="A57" s="262"/>
      <c r="B57" s="263" t="s">
        <v>209</v>
      </c>
      <c r="C57" s="264"/>
      <c r="D57" s="264">
        <v>756</v>
      </c>
      <c r="E57" s="264"/>
      <c r="F57" s="265">
        <v>323</v>
      </c>
      <c r="G57" s="264"/>
      <c r="H57" s="264">
        <v>6</v>
      </c>
      <c r="I57" s="264"/>
      <c r="J57" s="264">
        <v>0</v>
      </c>
      <c r="K57" s="264"/>
      <c r="L57" s="264">
        <v>0</v>
      </c>
      <c r="M57" s="264"/>
      <c r="N57" s="265">
        <f>+F57-H57</f>
        <v>317</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48048</v>
      </c>
      <c r="G59" s="264"/>
      <c r="H59" s="264">
        <f>SUM(H56:H58)</f>
        <v>3113</v>
      </c>
      <c r="I59" s="264"/>
      <c r="J59" s="264">
        <f>SUM(J56:J58)</f>
        <v>0</v>
      </c>
      <c r="K59" s="264"/>
      <c r="L59" s="264">
        <f>SUM(L56:L58)</f>
        <v>0</v>
      </c>
      <c r="M59" s="264"/>
      <c r="N59" s="264">
        <f>SUM(N56:N58)</f>
        <v>44935</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-323</v>
      </c>
      <c r="G68" s="264"/>
      <c r="H68" s="264"/>
      <c r="I68" s="264"/>
      <c r="J68" s="264"/>
      <c r="K68" s="264"/>
      <c r="L68" s="264"/>
      <c r="M68" s="264"/>
      <c r="N68" s="265">
        <f>-N57</f>
        <v>-317</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47725</v>
      </c>
      <c r="G72" s="264"/>
      <c r="H72" s="264"/>
      <c r="I72" s="264"/>
      <c r="J72" s="264"/>
      <c r="K72" s="264"/>
      <c r="L72" s="264"/>
      <c r="M72" s="264"/>
      <c r="N72" s="264">
        <f>SUM(N59:N71)</f>
        <v>44618</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41789</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v>3107</v>
      </c>
      <c r="M77" s="263"/>
      <c r="N77" s="265"/>
      <c r="O77" s="266"/>
      <c r="P77" s="5"/>
    </row>
    <row r="78" spans="1:16" ht="15.6" x14ac:dyDescent="0.3">
      <c r="A78" s="262"/>
      <c r="B78" s="263" t="s">
        <v>176</v>
      </c>
      <c r="C78" s="263"/>
      <c r="D78" s="300"/>
      <c r="E78" s="263"/>
      <c r="F78" s="309"/>
      <c r="G78" s="263"/>
      <c r="H78" s="263"/>
      <c r="I78" s="263"/>
      <c r="J78" s="263"/>
      <c r="K78" s="263"/>
      <c r="L78" s="264"/>
      <c r="M78" s="263"/>
      <c r="N78" s="265">
        <f>1156+83+1015-927-45-836</f>
        <v>446</v>
      </c>
      <c r="O78" s="266"/>
      <c r="P78" s="5"/>
    </row>
    <row r="79" spans="1:16" ht="15.6" x14ac:dyDescent="0.3">
      <c r="A79" s="262"/>
      <c r="B79" s="263" t="s">
        <v>174</v>
      </c>
      <c r="C79" s="263"/>
      <c r="D79" s="300"/>
      <c r="E79" s="263"/>
      <c r="F79" s="309"/>
      <c r="G79" s="263"/>
      <c r="H79" s="263"/>
      <c r="I79" s="263"/>
      <c r="J79" s="263"/>
      <c r="K79" s="263"/>
      <c r="L79" s="264"/>
      <c r="M79" s="263"/>
      <c r="N79" s="265">
        <f>187+60</f>
        <v>247</v>
      </c>
      <c r="O79" s="266"/>
      <c r="P79" s="5"/>
    </row>
    <row r="80" spans="1:16" ht="15.6" x14ac:dyDescent="0.3">
      <c r="A80" s="262"/>
      <c r="B80" s="263" t="s">
        <v>175</v>
      </c>
      <c r="C80" s="263"/>
      <c r="D80" s="300"/>
      <c r="E80" s="263"/>
      <c r="F80" s="309"/>
      <c r="G80" s="263"/>
      <c r="H80" s="263"/>
      <c r="I80" s="263"/>
      <c r="J80" s="263"/>
      <c r="K80" s="263"/>
      <c r="L80" s="264"/>
      <c r="M80" s="263"/>
      <c r="N80" s="265">
        <v>4</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3107</v>
      </c>
      <c r="M83" s="263"/>
      <c r="N83" s="264">
        <f>SUM(N76:N82)</f>
        <v>697</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3107</v>
      </c>
      <c r="M87" s="263"/>
      <c r="N87" s="264">
        <f>N83+N85+N84+N86</f>
        <v>697</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-18-1-118</f>
        <v>-137</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-84</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0</v>
      </c>
      <c r="M98" s="263"/>
      <c r="N98" s="265">
        <v>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-19</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-440</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-3107</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-3107</v>
      </c>
      <c r="M111" s="264"/>
      <c r="N111" s="264">
        <f>SUM(N88:N109)</f>
        <v>-697</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MAY 2014</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0</v>
      </c>
      <c r="O144" s="266"/>
      <c r="P144" s="5"/>
    </row>
    <row r="145" spans="1:256" ht="15.6" x14ac:dyDescent="0.3">
      <c r="A145" s="262"/>
      <c r="B145" s="263" t="s">
        <v>51</v>
      </c>
      <c r="C145" s="263"/>
      <c r="D145" s="263"/>
      <c r="E145" s="263"/>
      <c r="F145" s="263"/>
      <c r="G145" s="263"/>
      <c r="H145" s="263"/>
      <c r="I145" s="263"/>
      <c r="J145" s="263"/>
      <c r="K145" s="263"/>
      <c r="L145" s="263"/>
      <c r="M145" s="263"/>
      <c r="N145" s="265">
        <f>+N143+N144</f>
        <v>0</v>
      </c>
      <c r="O145" s="266"/>
      <c r="P145" s="5"/>
    </row>
    <row r="146" spans="1:256" ht="15.6" x14ac:dyDescent="0.3">
      <c r="A146" s="262"/>
      <c r="B146" s="263" t="s">
        <v>264</v>
      </c>
      <c r="C146" s="263"/>
      <c r="D146" s="263"/>
      <c r="E146" s="263"/>
      <c r="F146" s="263"/>
      <c r="G146" s="263"/>
      <c r="H146" s="263"/>
      <c r="I146" s="263"/>
      <c r="J146" s="263"/>
      <c r="K146" s="263"/>
      <c r="L146" s="263"/>
      <c r="M146" s="263"/>
      <c r="N146" s="265">
        <f>N98</f>
        <v>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44618</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44618</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+'Feb 14'!N161</f>
        <v>323</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6</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317</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+'Feb 14'!L168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6.6428571428571432</v>
      </c>
      <c r="O173" s="266" t="s">
        <v>115</v>
      </c>
      <c r="P173" s="5"/>
    </row>
    <row r="174" spans="1:256" ht="15.6" x14ac:dyDescent="0.3">
      <c r="A174" s="262"/>
      <c r="B174" s="263" t="s">
        <v>63</v>
      </c>
      <c r="C174" s="263"/>
      <c r="D174" s="263"/>
      <c r="E174" s="263"/>
      <c r="F174" s="263"/>
      <c r="G174" s="263"/>
      <c r="H174" s="263"/>
      <c r="I174" s="263"/>
      <c r="J174" s="263"/>
      <c r="K174" s="263"/>
      <c r="L174" s="263"/>
      <c r="M174" s="263"/>
      <c r="N174" s="315">
        <v>2.11</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118.5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48.74</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117.5</v>
      </c>
      <c r="O177" s="266" t="s">
        <v>115</v>
      </c>
      <c r="P177" s="5"/>
    </row>
    <row r="178" spans="1:16" ht="15.6" x14ac:dyDescent="0.3">
      <c r="A178" s="262"/>
      <c r="B178" s="263" t="s">
        <v>167</v>
      </c>
      <c r="C178" s="263"/>
      <c r="D178" s="263"/>
      <c r="E178" s="263"/>
      <c r="F178" s="263"/>
      <c r="G178" s="263"/>
      <c r="H178" s="263"/>
      <c r="I178" s="263"/>
      <c r="J178" s="263"/>
      <c r="K178" s="263"/>
      <c r="L178" s="263"/>
      <c r="M178" s="263"/>
      <c r="N178" s="315">
        <v>45.88</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MAY 2014</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41789</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4.8770000000000001E-2</v>
      </c>
      <c r="M188" s="263"/>
      <c r="N188" s="263"/>
      <c r="O188" s="266"/>
      <c r="P188" s="5"/>
    </row>
    <row r="189" spans="1:16" ht="15.6" x14ac:dyDescent="0.3">
      <c r="A189" s="321"/>
      <c r="B189" s="263" t="s">
        <v>212</v>
      </c>
      <c r="C189" s="322"/>
      <c r="D189" s="303"/>
      <c r="E189" s="303"/>
      <c r="F189" s="303"/>
      <c r="G189" s="303"/>
      <c r="H189" s="303"/>
      <c r="I189" s="303"/>
      <c r="J189" s="303"/>
      <c r="K189" s="303"/>
      <c r="L189" s="297">
        <f>N34</f>
        <v>7.7536453328748301E-3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4.1016354667125172E-2</v>
      </c>
      <c r="M190" s="263"/>
      <c r="N190" s="263"/>
      <c r="O190" s="266"/>
      <c r="P190" s="5"/>
    </row>
    <row r="191" spans="1:16" ht="15.6" x14ac:dyDescent="0.3">
      <c r="A191" s="321"/>
      <c r="B191" s="263" t="s">
        <v>203</v>
      </c>
      <c r="C191" s="322"/>
      <c r="D191" s="303"/>
      <c r="E191" s="303"/>
      <c r="F191" s="303"/>
      <c r="G191" s="303"/>
      <c r="H191" s="303"/>
      <c r="I191" s="303"/>
      <c r="J191" s="303"/>
      <c r="K191" s="303"/>
      <c r="L191" s="297">
        <f>+N87/F59</f>
        <v>1.4506327006327006E-2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4.84</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6.5102147721320058E-2</v>
      </c>
      <c r="M197" s="263"/>
      <c r="N197" s="263"/>
      <c r="O197" s="266"/>
      <c r="P197" s="5"/>
    </row>
    <row r="198" spans="1:16" ht="15.6" x14ac:dyDescent="0.3">
      <c r="A198" s="321"/>
      <c r="B198" s="263" t="s">
        <v>74</v>
      </c>
      <c r="C198" s="322"/>
      <c r="D198" s="303"/>
      <c r="E198" s="303"/>
      <c r="F198" s="303"/>
      <c r="G198" s="303"/>
      <c r="H198" s="303"/>
      <c r="I198" s="303"/>
      <c r="J198" s="303"/>
      <c r="K198" s="303"/>
      <c r="L198" s="297">
        <v>0.26989999999999997</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9</v>
      </c>
      <c r="L201" s="331">
        <v>454</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2</v>
      </c>
      <c r="L203" s="331">
        <f>+L286</f>
        <v>1062</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0</v>
      </c>
      <c r="M207" s="291"/>
      <c r="N207" s="337"/>
      <c r="O207" s="342"/>
      <c r="P207" s="5"/>
    </row>
    <row r="208" spans="1:16" ht="15.6" x14ac:dyDescent="0.3">
      <c r="A208" s="330"/>
      <c r="B208" s="263" t="s">
        <v>82</v>
      </c>
      <c r="C208" s="264"/>
      <c r="D208" s="263"/>
      <c r="E208" s="263"/>
      <c r="F208" s="263"/>
      <c r="G208" s="263"/>
      <c r="H208" s="263"/>
      <c r="I208" s="263"/>
      <c r="J208" s="263"/>
      <c r="K208" s="276"/>
      <c r="L208" s="331">
        <f>'Feb 14'!L208+L207</f>
        <v>39</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995</v>
      </c>
      <c r="K221" s="355">
        <f t="shared" ref="K221:K233" si="2">J221/$J$235</f>
        <v>0.94045368620037806</v>
      </c>
      <c r="L221" s="265">
        <f t="shared" ref="L221:L233" si="3">+L238+L255+L272</f>
        <v>40602</v>
      </c>
      <c r="M221" s="355">
        <f t="shared" ref="M221:M233" si="4">L221/$L$235</f>
        <v>0.90999148325787793</v>
      </c>
      <c r="N221" s="332"/>
      <c r="O221" s="356"/>
      <c r="P221" s="5"/>
    </row>
    <row r="222" spans="1:17" ht="15.6" x14ac:dyDescent="0.3">
      <c r="A222" s="262"/>
      <c r="B222" s="264" t="s">
        <v>86</v>
      </c>
      <c r="C222" s="354"/>
      <c r="D222" s="354"/>
      <c r="E222" s="354"/>
      <c r="F222" s="354"/>
      <c r="G222" s="354"/>
      <c r="H222" s="354"/>
      <c r="I222" s="354"/>
      <c r="J222" s="264">
        <f t="shared" si="1"/>
        <v>15</v>
      </c>
      <c r="K222" s="355">
        <f t="shared" si="2"/>
        <v>1.4177693761814745E-2</v>
      </c>
      <c r="L222" s="265">
        <f t="shared" si="3"/>
        <v>721</v>
      </c>
      <c r="M222" s="355">
        <f t="shared" si="4"/>
        <v>1.6159397552557263E-2</v>
      </c>
      <c r="N222" s="332"/>
      <c r="O222" s="356"/>
      <c r="P222" s="5"/>
      <c r="Q222" s="104"/>
    </row>
    <row r="223" spans="1:17" ht="15.6" x14ac:dyDescent="0.3">
      <c r="A223" s="262"/>
      <c r="B223" s="264" t="s">
        <v>87</v>
      </c>
      <c r="C223" s="354"/>
      <c r="D223" s="354"/>
      <c r="E223" s="354"/>
      <c r="F223" s="354"/>
      <c r="G223" s="354"/>
      <c r="H223" s="354"/>
      <c r="I223" s="354"/>
      <c r="J223" s="264">
        <f t="shared" si="1"/>
        <v>16</v>
      </c>
      <c r="K223" s="355">
        <f t="shared" si="2"/>
        <v>1.5122873345935728E-2</v>
      </c>
      <c r="L223" s="265">
        <f t="shared" si="3"/>
        <v>853</v>
      </c>
      <c r="M223" s="355">
        <f t="shared" si="4"/>
        <v>1.9117844815993545E-2</v>
      </c>
      <c r="N223" s="332"/>
      <c r="O223" s="356"/>
      <c r="P223" s="5"/>
    </row>
    <row r="224" spans="1:17" ht="15.6" x14ac:dyDescent="0.3">
      <c r="A224" s="262"/>
      <c r="B224" s="264" t="s">
        <v>145</v>
      </c>
      <c r="C224" s="354"/>
      <c r="D224" s="354"/>
      <c r="E224" s="354"/>
      <c r="F224" s="354"/>
      <c r="G224" s="354"/>
      <c r="H224" s="354"/>
      <c r="I224" s="354"/>
      <c r="J224" s="264">
        <f t="shared" si="1"/>
        <v>4</v>
      </c>
      <c r="K224" s="355">
        <f t="shared" si="2"/>
        <v>3.780718336483932E-3</v>
      </c>
      <c r="L224" s="265">
        <f t="shared" si="3"/>
        <v>161</v>
      </c>
      <c r="M224" s="355">
        <f t="shared" si="4"/>
        <v>3.6084091622215248E-3</v>
      </c>
      <c r="N224" s="332"/>
      <c r="O224" s="356"/>
      <c r="P224" s="5"/>
      <c r="Q224" s="104"/>
    </row>
    <row r="225" spans="1:17" ht="15.6" x14ac:dyDescent="0.3">
      <c r="A225" s="262"/>
      <c r="B225" s="264" t="s">
        <v>146</v>
      </c>
      <c r="C225" s="354"/>
      <c r="D225" s="354"/>
      <c r="E225" s="354"/>
      <c r="F225" s="354"/>
      <c r="G225" s="354"/>
      <c r="H225" s="354"/>
      <c r="I225" s="354"/>
      <c r="J225" s="264">
        <f t="shared" si="1"/>
        <v>6</v>
      </c>
      <c r="K225" s="355">
        <f t="shared" si="2"/>
        <v>5.6710775047258983E-3</v>
      </c>
      <c r="L225" s="265">
        <f t="shared" si="3"/>
        <v>250</v>
      </c>
      <c r="M225" s="355">
        <f t="shared" si="4"/>
        <v>5.603119817114169E-3</v>
      </c>
      <c r="N225" s="332"/>
      <c r="O225" s="356"/>
      <c r="P225" s="5"/>
    </row>
    <row r="226" spans="1:17" ht="15.6" x14ac:dyDescent="0.3">
      <c r="A226" s="262"/>
      <c r="B226" s="264" t="s">
        <v>147</v>
      </c>
      <c r="C226" s="354"/>
      <c r="D226" s="354"/>
      <c r="E226" s="354"/>
      <c r="F226" s="354"/>
      <c r="G226" s="354"/>
      <c r="H226" s="354"/>
      <c r="I226" s="354"/>
      <c r="J226" s="264">
        <f t="shared" si="1"/>
        <v>1</v>
      </c>
      <c r="K226" s="355">
        <f t="shared" si="2"/>
        <v>9.4517958412098301E-4</v>
      </c>
      <c r="L226" s="265">
        <f t="shared" si="3"/>
        <v>14</v>
      </c>
      <c r="M226" s="355">
        <f t="shared" si="4"/>
        <v>3.1377470975839345E-4</v>
      </c>
      <c r="N226" s="332"/>
      <c r="O226" s="356"/>
      <c r="P226" s="5"/>
      <c r="Q226" s="104"/>
    </row>
    <row r="227" spans="1:17" ht="15.6" x14ac:dyDescent="0.3">
      <c r="A227" s="262"/>
      <c r="B227" s="264" t="s">
        <v>227</v>
      </c>
      <c r="C227" s="354"/>
      <c r="D227" s="354"/>
      <c r="E227" s="354"/>
      <c r="F227" s="354"/>
      <c r="G227" s="354"/>
      <c r="H227" s="354"/>
      <c r="I227" s="354"/>
      <c r="J227" s="264">
        <f t="shared" si="1"/>
        <v>4</v>
      </c>
      <c r="K227" s="355">
        <f t="shared" si="2"/>
        <v>3.780718336483932E-3</v>
      </c>
      <c r="L227" s="265">
        <f t="shared" si="3"/>
        <v>183</v>
      </c>
      <c r="M227" s="355">
        <f t="shared" si="4"/>
        <v>4.1014837061275717E-3</v>
      </c>
      <c r="N227" s="332"/>
      <c r="O227" s="356"/>
      <c r="P227" s="5"/>
    </row>
    <row r="228" spans="1:17" ht="15.6" x14ac:dyDescent="0.3">
      <c r="A228" s="262"/>
      <c r="B228" s="264" t="s">
        <v>228</v>
      </c>
      <c r="C228" s="354"/>
      <c r="D228" s="354"/>
      <c r="E228" s="354"/>
      <c r="F228" s="354"/>
      <c r="G228" s="354"/>
      <c r="H228" s="354"/>
      <c r="I228" s="354"/>
      <c r="J228" s="264">
        <f t="shared" si="1"/>
        <v>4</v>
      </c>
      <c r="K228" s="355">
        <f t="shared" si="2"/>
        <v>3.780718336483932E-3</v>
      </c>
      <c r="L228" s="265">
        <f t="shared" si="3"/>
        <v>283</v>
      </c>
      <c r="M228" s="355">
        <f t="shared" si="4"/>
        <v>6.3427316329732397E-3</v>
      </c>
      <c r="N228" s="332"/>
      <c r="O228" s="356"/>
      <c r="P228" s="5"/>
      <c r="Q228" s="104"/>
    </row>
    <row r="229" spans="1:17" ht="15.6" x14ac:dyDescent="0.3">
      <c r="A229" s="262"/>
      <c r="B229" s="264" t="s">
        <v>229</v>
      </c>
      <c r="C229" s="354"/>
      <c r="D229" s="354"/>
      <c r="E229" s="354"/>
      <c r="F229" s="354"/>
      <c r="G229" s="354"/>
      <c r="H229" s="354"/>
      <c r="I229" s="354"/>
      <c r="J229" s="264">
        <f t="shared" si="1"/>
        <v>1</v>
      </c>
      <c r="K229" s="355">
        <f t="shared" si="2"/>
        <v>9.4517958412098301E-4</v>
      </c>
      <c r="L229" s="265">
        <f t="shared" si="3"/>
        <v>10</v>
      </c>
      <c r="M229" s="355">
        <f t="shared" si="4"/>
        <v>2.2412479268456677E-4</v>
      </c>
      <c r="N229" s="332"/>
      <c r="O229" s="356"/>
      <c r="P229" s="5"/>
      <c r="Q229" s="104"/>
    </row>
    <row r="230" spans="1:17" ht="15.6" x14ac:dyDescent="0.3">
      <c r="A230" s="262"/>
      <c r="B230" s="264" t="s">
        <v>230</v>
      </c>
      <c r="C230" s="354"/>
      <c r="D230" s="354"/>
      <c r="E230" s="354"/>
      <c r="F230" s="354"/>
      <c r="G230" s="354"/>
      <c r="H230" s="354"/>
      <c r="I230" s="354"/>
      <c r="J230" s="264">
        <f t="shared" si="1"/>
        <v>4</v>
      </c>
      <c r="K230" s="355">
        <f t="shared" si="2"/>
        <v>3.780718336483932E-3</v>
      </c>
      <c r="L230" s="265">
        <f t="shared" si="3"/>
        <v>129</v>
      </c>
      <c r="M230" s="355">
        <f t="shared" si="4"/>
        <v>2.8912098256309113E-3</v>
      </c>
      <c r="N230" s="332"/>
      <c r="O230" s="356"/>
      <c r="P230" s="5"/>
      <c r="Q230" s="104"/>
    </row>
    <row r="231" spans="1:17" ht="15.6" x14ac:dyDescent="0.3">
      <c r="A231" s="262"/>
      <c r="B231" s="264" t="s">
        <v>231</v>
      </c>
      <c r="C231" s="354"/>
      <c r="D231" s="354"/>
      <c r="E231" s="354"/>
      <c r="F231" s="354"/>
      <c r="G231" s="354"/>
      <c r="H231" s="354"/>
      <c r="I231" s="354"/>
      <c r="J231" s="264">
        <f t="shared" si="1"/>
        <v>2</v>
      </c>
      <c r="K231" s="355">
        <f t="shared" si="2"/>
        <v>1.890359168241966E-3</v>
      </c>
      <c r="L231" s="265">
        <f t="shared" si="3"/>
        <v>118</v>
      </c>
      <c r="M231" s="355">
        <f t="shared" si="4"/>
        <v>2.6446725536778876E-3</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9.4517958412098301E-4</v>
      </c>
      <c r="L232" s="265">
        <f t="shared" si="3"/>
        <v>7</v>
      </c>
      <c r="M232" s="355">
        <f t="shared" si="4"/>
        <v>1.5688735487919673E-4</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4.725897920604915E-3</v>
      </c>
      <c r="L233" s="265">
        <f t="shared" si="3"/>
        <v>1287</v>
      </c>
      <c r="M233" s="355">
        <f t="shared" si="4"/>
        <v>2.8844860818503744E-2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1058</v>
      </c>
      <c r="K235" s="355">
        <f>SUM(K221:K234)</f>
        <v>1.0000000000000002</v>
      </c>
      <c r="L235" s="265">
        <f>SUM(L221:L234)</f>
        <v>44618</v>
      </c>
      <c r="M235" s="355">
        <f>SUM(M221:M234)</f>
        <v>0.99999999999999989</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995</v>
      </c>
      <c r="K238" s="355">
        <f t="shared" ref="K238:K250" si="5">J238/$J$252</f>
        <v>0.94223484848484851</v>
      </c>
      <c r="L238" s="265">
        <v>40602</v>
      </c>
      <c r="M238" s="355">
        <f t="shared" ref="M238:M250" si="6">L238/$L$252</f>
        <v>0.93217926347690327</v>
      </c>
      <c r="N238" s="332"/>
      <c r="O238" s="356"/>
      <c r="P238" s="5"/>
    </row>
    <row r="239" spans="1:17" ht="15.6" x14ac:dyDescent="0.3">
      <c r="A239" s="262"/>
      <c r="B239" s="264" t="s">
        <v>86</v>
      </c>
      <c r="C239" s="354"/>
      <c r="D239" s="354"/>
      <c r="E239" s="354"/>
      <c r="F239" s="354"/>
      <c r="G239" s="354"/>
      <c r="H239" s="354"/>
      <c r="I239" s="354"/>
      <c r="J239" s="264">
        <v>15</v>
      </c>
      <c r="K239" s="355">
        <f t="shared" si="5"/>
        <v>1.4204545454545454E-2</v>
      </c>
      <c r="L239" s="265">
        <v>721</v>
      </c>
      <c r="M239" s="355">
        <f t="shared" si="6"/>
        <v>1.6553402516300855E-2</v>
      </c>
      <c r="N239" s="332"/>
      <c r="O239" s="356"/>
      <c r="P239" s="5"/>
      <c r="Q239" s="104"/>
    </row>
    <row r="240" spans="1:17" ht="15.6" x14ac:dyDescent="0.3">
      <c r="A240" s="262"/>
      <c r="B240" s="264" t="s">
        <v>87</v>
      </c>
      <c r="C240" s="354"/>
      <c r="D240" s="354"/>
      <c r="E240" s="354"/>
      <c r="F240" s="354"/>
      <c r="G240" s="354"/>
      <c r="H240" s="354"/>
      <c r="I240" s="354"/>
      <c r="J240" s="264">
        <v>16</v>
      </c>
      <c r="K240" s="355">
        <f t="shared" si="5"/>
        <v>1.5151515151515152E-2</v>
      </c>
      <c r="L240" s="265">
        <v>853</v>
      </c>
      <c r="M240" s="355">
        <f t="shared" si="6"/>
        <v>1.9583983836899622E-2</v>
      </c>
      <c r="N240" s="332"/>
      <c r="O240" s="356"/>
      <c r="P240" s="5"/>
    </row>
    <row r="241" spans="1:17" ht="15.6" x14ac:dyDescent="0.3">
      <c r="A241" s="262"/>
      <c r="B241" s="264" t="s">
        <v>145</v>
      </c>
      <c r="C241" s="354"/>
      <c r="D241" s="354"/>
      <c r="E241" s="354"/>
      <c r="F241" s="354"/>
      <c r="G241" s="354"/>
      <c r="H241" s="354"/>
      <c r="I241" s="354"/>
      <c r="J241" s="264">
        <v>4</v>
      </c>
      <c r="K241" s="355">
        <f t="shared" si="5"/>
        <v>3.787878787878788E-3</v>
      </c>
      <c r="L241" s="265">
        <v>161</v>
      </c>
      <c r="M241" s="355">
        <f t="shared" si="6"/>
        <v>3.6963908531545595E-3</v>
      </c>
      <c r="N241" s="332"/>
      <c r="O241" s="356"/>
      <c r="P241" s="5"/>
      <c r="Q241" s="104"/>
    </row>
    <row r="242" spans="1:17" ht="15.6" x14ac:dyDescent="0.3">
      <c r="A242" s="262"/>
      <c r="B242" s="264" t="s">
        <v>146</v>
      </c>
      <c r="C242" s="354"/>
      <c r="D242" s="354"/>
      <c r="E242" s="354"/>
      <c r="F242" s="354"/>
      <c r="G242" s="354"/>
      <c r="H242" s="354"/>
      <c r="I242" s="354"/>
      <c r="J242" s="264">
        <v>6</v>
      </c>
      <c r="K242" s="355">
        <f t="shared" si="5"/>
        <v>5.681818181818182E-3</v>
      </c>
      <c r="L242" s="265">
        <v>250</v>
      </c>
      <c r="M242" s="355">
        <f t="shared" si="6"/>
        <v>5.7397373496188816E-3</v>
      </c>
      <c r="N242" s="332"/>
      <c r="O242" s="356"/>
      <c r="P242" s="5"/>
    </row>
    <row r="243" spans="1:17" ht="15.6" x14ac:dyDescent="0.3">
      <c r="A243" s="262"/>
      <c r="B243" s="264" t="s">
        <v>147</v>
      </c>
      <c r="C243" s="354"/>
      <c r="D243" s="354"/>
      <c r="E243" s="354"/>
      <c r="F243" s="354"/>
      <c r="G243" s="354"/>
      <c r="H243" s="354"/>
      <c r="I243" s="354"/>
      <c r="J243" s="264">
        <v>1</v>
      </c>
      <c r="K243" s="355">
        <f t="shared" si="5"/>
        <v>9.46969696969697E-4</v>
      </c>
      <c r="L243" s="265">
        <v>14</v>
      </c>
      <c r="M243" s="355">
        <f t="shared" si="6"/>
        <v>3.2142529157865734E-4</v>
      </c>
      <c r="N243" s="332"/>
      <c r="O243" s="356"/>
      <c r="P243" s="5"/>
      <c r="Q243" s="104"/>
    </row>
    <row r="244" spans="1:17" ht="15.6" x14ac:dyDescent="0.3">
      <c r="A244" s="262"/>
      <c r="B244" s="264" t="s">
        <v>227</v>
      </c>
      <c r="C244" s="354"/>
      <c r="D244" s="354"/>
      <c r="E244" s="354"/>
      <c r="F244" s="354"/>
      <c r="G244" s="354"/>
      <c r="H244" s="354"/>
      <c r="I244" s="354"/>
      <c r="J244" s="264">
        <v>3</v>
      </c>
      <c r="K244" s="355">
        <f t="shared" si="5"/>
        <v>2.840909090909091E-3</v>
      </c>
      <c r="L244" s="265">
        <v>111</v>
      </c>
      <c r="M244" s="355">
        <f t="shared" si="6"/>
        <v>2.5484433832307835E-3</v>
      </c>
      <c r="N244" s="332"/>
      <c r="O244" s="356"/>
      <c r="P244" s="5"/>
    </row>
    <row r="245" spans="1:17" ht="15.6" x14ac:dyDescent="0.3">
      <c r="A245" s="262"/>
      <c r="B245" s="264" t="s">
        <v>228</v>
      </c>
      <c r="C245" s="354"/>
      <c r="D245" s="354"/>
      <c r="E245" s="354"/>
      <c r="F245" s="354"/>
      <c r="G245" s="354"/>
      <c r="H245" s="354"/>
      <c r="I245" s="354"/>
      <c r="J245" s="264">
        <v>4</v>
      </c>
      <c r="K245" s="355">
        <f t="shared" si="5"/>
        <v>3.787878787878788E-3</v>
      </c>
      <c r="L245" s="265">
        <v>283</v>
      </c>
      <c r="M245" s="355">
        <f t="shared" si="6"/>
        <v>6.4973826797685734E-3</v>
      </c>
      <c r="N245" s="332"/>
      <c r="O245" s="356"/>
      <c r="P245" s="5"/>
      <c r="Q245" s="104"/>
    </row>
    <row r="246" spans="1:17" ht="15.6" x14ac:dyDescent="0.3">
      <c r="A246" s="262"/>
      <c r="B246" s="264" t="s">
        <v>229</v>
      </c>
      <c r="C246" s="354"/>
      <c r="D246" s="354"/>
      <c r="E246" s="354"/>
      <c r="F246" s="354"/>
      <c r="G246" s="354"/>
      <c r="H246" s="354"/>
      <c r="I246" s="354"/>
      <c r="J246" s="264">
        <v>1</v>
      </c>
      <c r="K246" s="355">
        <f t="shared" si="5"/>
        <v>9.46969696969697E-4</v>
      </c>
      <c r="L246" s="265">
        <v>10</v>
      </c>
      <c r="M246" s="355">
        <f t="shared" si="6"/>
        <v>2.2958949398475527E-4</v>
      </c>
      <c r="N246" s="332"/>
      <c r="O246" s="356"/>
      <c r="P246" s="5"/>
      <c r="Q246" s="104"/>
    </row>
    <row r="247" spans="1:17" ht="15.6" x14ac:dyDescent="0.3">
      <c r="A247" s="262"/>
      <c r="B247" s="264" t="s">
        <v>230</v>
      </c>
      <c r="C247" s="354"/>
      <c r="D247" s="354"/>
      <c r="E247" s="354"/>
      <c r="F247" s="354"/>
      <c r="G247" s="354"/>
      <c r="H247" s="354"/>
      <c r="I247" s="354"/>
      <c r="J247" s="264">
        <v>4</v>
      </c>
      <c r="K247" s="355">
        <f t="shared" si="5"/>
        <v>3.787878787878788E-3</v>
      </c>
      <c r="L247" s="265">
        <v>129</v>
      </c>
      <c r="M247" s="355">
        <f t="shared" si="6"/>
        <v>2.9617044724033429E-3</v>
      </c>
      <c r="N247" s="332"/>
      <c r="O247" s="356"/>
      <c r="P247" s="5"/>
      <c r="Q247" s="104"/>
    </row>
    <row r="248" spans="1:17" ht="15.6" x14ac:dyDescent="0.3">
      <c r="A248" s="262"/>
      <c r="B248" s="264" t="s">
        <v>231</v>
      </c>
      <c r="C248" s="354"/>
      <c r="D248" s="354"/>
      <c r="E248" s="354"/>
      <c r="F248" s="354"/>
      <c r="G248" s="354"/>
      <c r="H248" s="354"/>
      <c r="I248" s="354"/>
      <c r="J248" s="264">
        <v>2</v>
      </c>
      <c r="K248" s="355">
        <f t="shared" si="5"/>
        <v>1.893939393939394E-3</v>
      </c>
      <c r="L248" s="265">
        <v>118</v>
      </c>
      <c r="M248" s="355">
        <f t="shared" si="6"/>
        <v>2.7091560290201122E-3</v>
      </c>
      <c r="N248" s="332"/>
      <c r="O248" s="356"/>
      <c r="P248" s="5"/>
      <c r="Q248" s="104"/>
    </row>
    <row r="249" spans="1:17" ht="15.6" x14ac:dyDescent="0.3">
      <c r="A249" s="262"/>
      <c r="B249" s="264" t="s">
        <v>232</v>
      </c>
      <c r="C249" s="354"/>
      <c r="D249" s="354"/>
      <c r="E249" s="354"/>
      <c r="F249" s="354"/>
      <c r="G249" s="354"/>
      <c r="H249" s="354"/>
      <c r="I249" s="354"/>
      <c r="J249" s="264">
        <v>1</v>
      </c>
      <c r="K249" s="355">
        <f t="shared" si="5"/>
        <v>9.46969696969697E-4</v>
      </c>
      <c r="L249" s="265">
        <v>7</v>
      </c>
      <c r="M249" s="355">
        <f t="shared" si="6"/>
        <v>1.6071264578932867E-4</v>
      </c>
      <c r="N249" s="332"/>
      <c r="O249" s="356"/>
      <c r="P249" s="5"/>
      <c r="Q249" s="104"/>
    </row>
    <row r="250" spans="1:17" ht="15.6" x14ac:dyDescent="0.3">
      <c r="A250" s="262"/>
      <c r="B250" s="264" t="s">
        <v>233</v>
      </c>
      <c r="C250" s="354"/>
      <c r="D250" s="354"/>
      <c r="E250" s="354"/>
      <c r="F250" s="354"/>
      <c r="G250" s="354"/>
      <c r="H250" s="354"/>
      <c r="I250" s="354"/>
      <c r="J250" s="264">
        <v>4</v>
      </c>
      <c r="K250" s="355">
        <f t="shared" si="5"/>
        <v>3.787878787878788E-3</v>
      </c>
      <c r="L250" s="265">
        <v>297</v>
      </c>
      <c r="M250" s="355">
        <f t="shared" si="6"/>
        <v>6.8188079713472315E-3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1056</v>
      </c>
      <c r="K252" s="355">
        <f>SUM(K238:K251)</f>
        <v>1.0000000000000002</v>
      </c>
      <c r="L252" s="265">
        <f>SUM(L238:L251)</f>
        <v>43556</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1</v>
      </c>
      <c r="K278" s="355">
        <f t="shared" si="7"/>
        <v>0.5</v>
      </c>
      <c r="L278" s="265">
        <v>72</v>
      </c>
      <c r="M278" s="355">
        <f t="shared" si="8"/>
        <v>6.7796610169491525E-2</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0.5</v>
      </c>
      <c r="L284" s="265">
        <v>990</v>
      </c>
      <c r="M284" s="355">
        <f t="shared" si="8"/>
        <v>0.93220338983050843</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2</v>
      </c>
      <c r="K286" s="355">
        <f>SUM(K272:K284)</f>
        <v>1</v>
      </c>
      <c r="L286" s="265">
        <f>SUM(L272:L284)</f>
        <v>1062</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1058</v>
      </c>
      <c r="K288" s="355"/>
      <c r="L288" s="359">
        <f>+L286+L269+L252</f>
        <v>44618</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MAY 2014</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sheetPr>
  <dimension ref="A1:IV283"/>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4.2299999999999997E-2</v>
      </c>
      <c r="L16" s="17" t="s">
        <v>133</v>
      </c>
      <c r="M16" s="129">
        <v>0.9577</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39437</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74"/>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74"/>
      <c r="N22" s="174"/>
      <c r="O22" s="8"/>
      <c r="P22" s="5"/>
    </row>
    <row r="23" spans="1:16" ht="15.6" x14ac:dyDescent="0.3">
      <c r="A23" s="24"/>
      <c r="B23" s="25" t="s">
        <v>7</v>
      </c>
      <c r="C23" s="26"/>
      <c r="D23" s="26" t="s">
        <v>134</v>
      </c>
      <c r="E23" s="26"/>
      <c r="F23" s="26" t="s">
        <v>152</v>
      </c>
      <c r="G23" s="26"/>
      <c r="H23" s="26" t="s">
        <v>135</v>
      </c>
      <c r="I23" s="26"/>
      <c r="J23" s="26"/>
      <c r="K23" s="26"/>
      <c r="L23" s="26"/>
      <c r="M23" s="175"/>
      <c r="N23" s="175"/>
      <c r="O23" s="25"/>
      <c r="P23" s="5"/>
    </row>
    <row r="24" spans="1:16" ht="15.6" x14ac:dyDescent="0.3">
      <c r="A24" s="28"/>
      <c r="B24" s="124" t="s">
        <v>162</v>
      </c>
      <c r="C24" s="118"/>
      <c r="D24" s="26" t="s">
        <v>134</v>
      </c>
      <c r="E24" s="26"/>
      <c r="F24" s="26" t="s">
        <v>152</v>
      </c>
      <c r="G24" s="26"/>
      <c r="H24" s="26" t="s">
        <v>135</v>
      </c>
      <c r="I24" s="26"/>
      <c r="J24" s="26"/>
      <c r="K24" s="118"/>
      <c r="L24" s="26"/>
      <c r="M24" s="175"/>
      <c r="N24" s="175"/>
      <c r="O24" s="25"/>
      <c r="P24" s="5"/>
    </row>
    <row r="25" spans="1:16" ht="15.6" x14ac:dyDescent="0.3">
      <c r="A25" s="24"/>
      <c r="B25" s="29" t="s">
        <v>163</v>
      </c>
      <c r="C25" s="26"/>
      <c r="D25" s="118" t="s">
        <v>134</v>
      </c>
      <c r="E25" s="118"/>
      <c r="F25" s="118" t="s">
        <v>152</v>
      </c>
      <c r="G25" s="118"/>
      <c r="H25" s="118" t="s">
        <v>135</v>
      </c>
      <c r="I25" s="118"/>
      <c r="J25" s="118"/>
      <c r="K25" s="26"/>
      <c r="L25" s="30"/>
      <c r="M25" s="175"/>
      <c r="N25" s="175"/>
      <c r="O25" s="25"/>
      <c r="P25" s="5"/>
    </row>
    <row r="26" spans="1:16" ht="15.6" x14ac:dyDescent="0.3">
      <c r="A26" s="24"/>
      <c r="B26" s="143" t="s">
        <v>164</v>
      </c>
      <c r="C26" s="26"/>
      <c r="D26" s="118" t="s">
        <v>134</v>
      </c>
      <c r="E26" s="118"/>
      <c r="F26" s="118" t="s">
        <v>152</v>
      </c>
      <c r="G26" s="118"/>
      <c r="H26" s="118" t="s">
        <v>135</v>
      </c>
      <c r="I26" s="118"/>
      <c r="J26" s="118"/>
      <c r="K26" s="26"/>
      <c r="L26" s="30"/>
      <c r="M26" s="175"/>
      <c r="N26" s="175"/>
      <c r="O26" s="25"/>
      <c r="P26" s="5"/>
    </row>
    <row r="27" spans="1:16" ht="15.6" x14ac:dyDescent="0.3">
      <c r="A27" s="24"/>
      <c r="B27" s="25" t="s">
        <v>8</v>
      </c>
      <c r="C27" s="32"/>
      <c r="D27" s="26" t="s">
        <v>218</v>
      </c>
      <c r="E27" s="26"/>
      <c r="F27" s="26" t="s">
        <v>219</v>
      </c>
      <c r="G27" s="26"/>
      <c r="H27" s="26" t="s">
        <v>220</v>
      </c>
      <c r="I27" s="26"/>
      <c r="J27" s="26"/>
      <c r="K27" s="31"/>
      <c r="L27" s="31"/>
      <c r="M27" s="176"/>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206810.95</v>
      </c>
      <c r="E29" s="31"/>
      <c r="F29" s="31">
        <f>F28*F32</f>
        <v>4050</v>
      </c>
      <c r="G29" s="31"/>
      <c r="H29" s="31">
        <f>H28*H32</f>
        <v>4050</v>
      </c>
      <c r="I29" s="31"/>
      <c r="J29" s="119"/>
      <c r="K29" s="31"/>
      <c r="L29" s="31"/>
      <c r="M29" s="176"/>
      <c r="N29" s="31">
        <f>SUM(D29:H29)</f>
        <v>214910.95</v>
      </c>
      <c r="O29" s="34"/>
      <c r="P29" s="5"/>
    </row>
    <row r="30" spans="1:16" ht="15.6" x14ac:dyDescent="0.3">
      <c r="A30" s="24"/>
      <c r="B30" s="29" t="s">
        <v>130</v>
      </c>
      <c r="C30" s="32"/>
      <c r="D30" s="35">
        <f>D28*D31</f>
        <v>188952.6851</v>
      </c>
      <c r="E30" s="35"/>
      <c r="F30" s="35">
        <f>F28*F31</f>
        <v>4050</v>
      </c>
      <c r="G30" s="35"/>
      <c r="H30" s="35">
        <f>H28*H31</f>
        <v>4050</v>
      </c>
      <c r="I30" s="35"/>
      <c r="J30" s="120"/>
      <c r="K30" s="31"/>
      <c r="L30" s="31"/>
      <c r="M30" s="176"/>
      <c r="N30" s="145">
        <f>SUM(D30:I30)</f>
        <v>197052.6851</v>
      </c>
      <c r="O30" s="34"/>
      <c r="P30" s="5"/>
    </row>
    <row r="31" spans="1:16" ht="15.6" x14ac:dyDescent="0.3">
      <c r="A31" s="24"/>
      <c r="B31" s="117" t="s">
        <v>126</v>
      </c>
      <c r="C31" s="25"/>
      <c r="D31" s="171">
        <v>0.72534620000000005</v>
      </c>
      <c r="E31" s="171"/>
      <c r="F31" s="171">
        <v>1</v>
      </c>
      <c r="G31" s="171"/>
      <c r="H31" s="171">
        <v>1</v>
      </c>
      <c r="I31" s="128"/>
      <c r="J31" s="128"/>
      <c r="K31" s="30"/>
      <c r="L31" s="30"/>
      <c r="M31" s="175"/>
      <c r="N31" s="175"/>
      <c r="O31" s="25"/>
      <c r="P31" s="5"/>
    </row>
    <row r="32" spans="1:16" ht="15.6" x14ac:dyDescent="0.3">
      <c r="A32" s="24"/>
      <c r="B32" s="117" t="s">
        <v>127</v>
      </c>
      <c r="C32" s="25"/>
      <c r="D32" s="171">
        <v>0.79390000000000005</v>
      </c>
      <c r="E32" s="171"/>
      <c r="F32" s="171">
        <v>1</v>
      </c>
      <c r="G32" s="171"/>
      <c r="H32" s="171">
        <v>1</v>
      </c>
      <c r="I32" s="128"/>
      <c r="J32" s="128"/>
      <c r="K32" s="39"/>
      <c r="L32" s="38"/>
      <c r="M32" s="175"/>
      <c r="N32" s="39"/>
      <c r="O32" s="25"/>
      <c r="P32" s="5"/>
    </row>
    <row r="33" spans="1:17" ht="15.6" x14ac:dyDescent="0.3">
      <c r="A33" s="24"/>
      <c r="B33" s="25" t="s">
        <v>9</v>
      </c>
      <c r="C33" s="25"/>
      <c r="D33" s="30" t="s">
        <v>192</v>
      </c>
      <c r="E33" s="30"/>
      <c r="F33" s="30" t="s">
        <v>194</v>
      </c>
      <c r="G33" s="30"/>
      <c r="H33" s="30" t="s">
        <v>196</v>
      </c>
      <c r="I33" s="30"/>
      <c r="J33" s="30"/>
      <c r="K33" s="39"/>
      <c r="L33" s="38"/>
      <c r="M33" s="175"/>
      <c r="N33" s="175"/>
      <c r="O33" s="25"/>
      <c r="P33" s="5"/>
    </row>
    <row r="34" spans="1:17" ht="15.6" x14ac:dyDescent="0.3">
      <c r="A34" s="24"/>
      <c r="B34" s="25" t="s">
        <v>10</v>
      </c>
      <c r="C34" s="25"/>
      <c r="D34" s="38">
        <v>6.8712499999999996E-2</v>
      </c>
      <c r="E34" s="39"/>
      <c r="F34" s="38">
        <v>6.9312499999999999E-2</v>
      </c>
      <c r="G34" s="39"/>
      <c r="H34" s="38">
        <v>7.03125E-2</v>
      </c>
      <c r="I34" s="39"/>
      <c r="J34" s="38"/>
      <c r="K34" s="39"/>
      <c r="L34" s="38"/>
      <c r="M34" s="175"/>
      <c r="N34" s="39">
        <f>SUMPRODUCT(D34:H34,D29:H29)/N29</f>
        <v>6.875395903221776E-2</v>
      </c>
      <c r="O34" s="25"/>
      <c r="P34" s="5"/>
    </row>
    <row r="35" spans="1:17" ht="15.6" x14ac:dyDescent="0.3">
      <c r="A35" s="24"/>
      <c r="B35" s="25" t="s">
        <v>11</v>
      </c>
      <c r="C35" s="25"/>
      <c r="D35" s="38">
        <v>5.9700000000000003E-2</v>
      </c>
      <c r="E35" s="39"/>
      <c r="F35" s="38">
        <v>6.0299999999999999E-2</v>
      </c>
      <c r="G35" s="39"/>
      <c r="H35" s="38">
        <v>6.13E-2</v>
      </c>
      <c r="I35" s="38"/>
      <c r="J35" s="38"/>
      <c r="K35" s="39"/>
      <c r="L35" s="38"/>
      <c r="M35" s="175"/>
      <c r="N35" s="39" t="s">
        <v>165</v>
      </c>
      <c r="O35" s="25"/>
      <c r="P35" s="5"/>
    </row>
    <row r="36" spans="1:17" ht="15.6" x14ac:dyDescent="0.3">
      <c r="A36" s="24"/>
      <c r="B36" s="25" t="s">
        <v>12</v>
      </c>
      <c r="C36" s="25"/>
      <c r="D36" s="105">
        <v>40617</v>
      </c>
      <c r="E36" s="105"/>
      <c r="F36" s="105">
        <v>40617</v>
      </c>
      <c r="G36" s="105"/>
      <c r="H36" s="105">
        <v>40617</v>
      </c>
      <c r="I36" s="105"/>
      <c r="J36" s="105"/>
      <c r="K36" s="30"/>
      <c r="L36" s="30"/>
      <c r="M36" s="175"/>
      <c r="N36" s="175"/>
      <c r="O36" s="25"/>
      <c r="P36" s="5"/>
    </row>
    <row r="37" spans="1:17" ht="15.6" x14ac:dyDescent="0.3">
      <c r="A37" s="24"/>
      <c r="B37" s="25" t="s">
        <v>13</v>
      </c>
      <c r="C37" s="25"/>
      <c r="D37" s="105">
        <v>40983</v>
      </c>
      <c r="E37" s="30"/>
      <c r="F37" s="105">
        <v>40983</v>
      </c>
      <c r="G37" s="30"/>
      <c r="H37" s="105">
        <v>40983</v>
      </c>
      <c r="I37" s="30"/>
      <c r="J37" s="105"/>
      <c r="K37" s="30"/>
      <c r="L37" s="30"/>
      <c r="M37" s="175"/>
      <c r="N37" s="175"/>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0"/>
      <c r="G39" s="30"/>
      <c r="H39" s="30"/>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4.2867874546017766E-2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39433</v>
      </c>
      <c r="O45" s="25"/>
      <c r="P45" s="5"/>
    </row>
    <row r="46" spans="1:17" ht="15.6" x14ac:dyDescent="0.3">
      <c r="A46" s="24"/>
      <c r="B46" s="25" t="s">
        <v>119</v>
      </c>
      <c r="C46" s="25"/>
      <c r="D46" s="56"/>
      <c r="E46" s="56"/>
      <c r="F46" s="56"/>
      <c r="G46" s="56"/>
      <c r="H46" s="56"/>
      <c r="I46" s="56"/>
      <c r="J46" s="25">
        <f>+N46-L46+1</f>
        <v>94</v>
      </c>
      <c r="K46" s="56"/>
      <c r="L46" s="44">
        <v>39248</v>
      </c>
      <c r="M46" s="45"/>
      <c r="N46" s="44">
        <v>39341</v>
      </c>
      <c r="O46" s="25"/>
      <c r="P46" s="5"/>
    </row>
    <row r="47" spans="1:17" ht="15.6" x14ac:dyDescent="0.3">
      <c r="A47" s="24"/>
      <c r="B47" s="25" t="s">
        <v>120</v>
      </c>
      <c r="C47" s="25"/>
      <c r="D47" s="25"/>
      <c r="E47" s="25"/>
      <c r="F47" s="25"/>
      <c r="G47" s="25"/>
      <c r="H47" s="25"/>
      <c r="I47" s="25"/>
      <c r="J47" s="25">
        <f>+N47-L47+1</f>
        <v>91</v>
      </c>
      <c r="K47" s="25"/>
      <c r="L47" s="44">
        <v>39342</v>
      </c>
      <c r="M47" s="45"/>
      <c r="N47" s="44">
        <v>39432</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39419</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242</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214911</v>
      </c>
      <c r="G57" s="34"/>
      <c r="H57" s="34">
        <f>17858+3976</f>
        <v>21834</v>
      </c>
      <c r="I57" s="34"/>
      <c r="J57" s="34">
        <v>3976</v>
      </c>
      <c r="K57" s="34"/>
      <c r="L57" s="34">
        <v>0</v>
      </c>
      <c r="M57" s="34"/>
      <c r="N57" s="52">
        <f>+F57-H57+J57-L57</f>
        <v>197053</v>
      </c>
      <c r="O57" s="25"/>
      <c r="P57" s="5"/>
    </row>
    <row r="58" spans="1:16" ht="15.6" x14ac:dyDescent="0.3">
      <c r="A58" s="24"/>
      <c r="B58" s="25" t="s">
        <v>209</v>
      </c>
      <c r="C58" s="34"/>
      <c r="D58" s="34">
        <v>756</v>
      </c>
      <c r="E58" s="34"/>
      <c r="F58" s="52">
        <v>648</v>
      </c>
      <c r="G58" s="34"/>
      <c r="H58" s="34">
        <v>10</v>
      </c>
      <c r="I58" s="34"/>
      <c r="J58" s="34">
        <v>0</v>
      </c>
      <c r="K58" s="34"/>
      <c r="L58" s="34">
        <v>0</v>
      </c>
      <c r="M58" s="34"/>
      <c r="N58" s="52">
        <f>+F58-H58</f>
        <v>638</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215559</v>
      </c>
      <c r="G60" s="34"/>
      <c r="H60" s="34">
        <f>SUM(H57:H59)</f>
        <v>21844</v>
      </c>
      <c r="I60" s="34"/>
      <c r="J60" s="34">
        <f>SUM(J57:J59)</f>
        <v>3976</v>
      </c>
      <c r="K60" s="34"/>
      <c r="L60" s="34">
        <f>SUM(L57:L59)</f>
        <v>0</v>
      </c>
      <c r="M60" s="34"/>
      <c r="N60" s="53">
        <f>SUM(N57:N59)</f>
        <v>197691</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-648</v>
      </c>
      <c r="G69" s="34"/>
      <c r="H69" s="34"/>
      <c r="I69" s="34"/>
      <c r="J69" s="34"/>
      <c r="K69" s="34"/>
      <c r="L69" s="34"/>
      <c r="M69" s="34"/>
      <c r="N69" s="52">
        <f>-N58</f>
        <v>-638</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0</v>
      </c>
      <c r="G71" s="34"/>
      <c r="H71" s="34">
        <v>0</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214911</v>
      </c>
      <c r="G73" s="34"/>
      <c r="H73" s="34"/>
      <c r="I73" s="34"/>
      <c r="J73" s="34"/>
      <c r="K73" s="34"/>
      <c r="L73" s="53"/>
      <c r="M73" s="34"/>
      <c r="N73" s="53">
        <f>SUM(N60:N72)</f>
        <v>197053</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+L184</f>
        <v>39416</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0</v>
      </c>
      <c r="M77" s="25"/>
      <c r="N77" s="52">
        <v>0</v>
      </c>
      <c r="O77" s="25"/>
      <c r="P77" s="5"/>
    </row>
    <row r="78" spans="1:16" ht="15.6" x14ac:dyDescent="0.3">
      <c r="A78" s="24"/>
      <c r="B78" s="25" t="s">
        <v>27</v>
      </c>
      <c r="C78" s="25"/>
      <c r="D78" s="40"/>
      <c r="E78" s="25"/>
      <c r="F78" s="121"/>
      <c r="G78" s="25"/>
      <c r="H78" s="25"/>
      <c r="I78" s="25"/>
      <c r="J78" s="25"/>
      <c r="K78" s="25"/>
      <c r="L78" s="34">
        <v>21834</v>
      </c>
      <c r="M78" s="25"/>
      <c r="N78" s="52"/>
      <c r="O78" s="25"/>
      <c r="P78" s="5"/>
    </row>
    <row r="79" spans="1:16" ht="15.6" x14ac:dyDescent="0.3">
      <c r="A79" s="24"/>
      <c r="B79" s="25" t="s">
        <v>176</v>
      </c>
      <c r="C79" s="25"/>
      <c r="D79" s="40"/>
      <c r="E79" s="25"/>
      <c r="F79" s="121"/>
      <c r="G79" s="25"/>
      <c r="H79" s="25"/>
      <c r="I79" s="25"/>
      <c r="J79" s="25"/>
      <c r="K79" s="25"/>
      <c r="L79" s="34"/>
      <c r="M79" s="25"/>
      <c r="N79" s="52">
        <f>6577+159+2465-6919-50-1196</f>
        <v>1036</v>
      </c>
      <c r="O79" s="25"/>
      <c r="P79" s="5"/>
    </row>
    <row r="80" spans="1:16" ht="15.6" x14ac:dyDescent="0.3">
      <c r="A80" s="24"/>
      <c r="B80" s="25" t="s">
        <v>174</v>
      </c>
      <c r="C80" s="25"/>
      <c r="D80" s="40"/>
      <c r="E80" s="25"/>
      <c r="F80" s="121"/>
      <c r="G80" s="25"/>
      <c r="H80" s="25"/>
      <c r="I80" s="25"/>
      <c r="J80" s="25"/>
      <c r="K80" s="25"/>
      <c r="L80" s="34"/>
      <c r="M80" s="25"/>
      <c r="N80" s="52">
        <f>241+1+62</f>
        <v>304</v>
      </c>
      <c r="O80" s="25"/>
      <c r="P80" s="5"/>
    </row>
    <row r="81" spans="1:17" ht="15.6" x14ac:dyDescent="0.3">
      <c r="A81" s="24"/>
      <c r="B81" s="25" t="s">
        <v>175</v>
      </c>
      <c r="C81" s="25"/>
      <c r="D81" s="40"/>
      <c r="E81" s="25"/>
      <c r="F81" s="121"/>
      <c r="G81" s="25"/>
      <c r="H81" s="25"/>
      <c r="I81" s="25"/>
      <c r="J81" s="25"/>
      <c r="K81" s="25"/>
      <c r="L81" s="34"/>
      <c r="M81" s="25"/>
      <c r="N81" s="52">
        <v>217</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38</v>
      </c>
      <c r="O83" s="25"/>
      <c r="P83" s="5"/>
    </row>
    <row r="84" spans="1:17" ht="15.6" x14ac:dyDescent="0.3">
      <c r="A84" s="24"/>
      <c r="B84" s="25" t="s">
        <v>28</v>
      </c>
      <c r="C84" s="25"/>
      <c r="D84" s="25"/>
      <c r="E84" s="25"/>
      <c r="F84" s="25"/>
      <c r="G84" s="25"/>
      <c r="H84" s="25"/>
      <c r="I84" s="25"/>
      <c r="J84" s="25"/>
      <c r="K84" s="25"/>
      <c r="L84" s="34">
        <f>SUM(L77:L83)</f>
        <v>21834</v>
      </c>
      <c r="M84" s="25"/>
      <c r="N84" s="53">
        <f>SUM(N77:N83)</f>
        <v>1595</v>
      </c>
      <c r="O84" s="25"/>
      <c r="P84" s="5"/>
    </row>
    <row r="85" spans="1:17" ht="15.6" x14ac:dyDescent="0.3">
      <c r="A85" s="24"/>
      <c r="B85" s="25" t="s">
        <v>148</v>
      </c>
      <c r="C85" s="25"/>
      <c r="D85" s="25"/>
      <c r="E85" s="25"/>
      <c r="F85" s="25"/>
      <c r="G85" s="25"/>
      <c r="H85" s="25"/>
      <c r="I85" s="25"/>
      <c r="J85" s="25"/>
      <c r="K85" s="25"/>
      <c r="L85" s="34">
        <v>-3089</v>
      </c>
      <c r="M85" s="25"/>
      <c r="N85" s="53">
        <f>-L85</f>
        <v>3089</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244</v>
      </c>
      <c r="C87" s="25"/>
      <c r="D87" s="25"/>
      <c r="E87" s="25"/>
      <c r="F87" s="25"/>
      <c r="G87" s="25"/>
      <c r="H87" s="25"/>
      <c r="I87" s="25"/>
      <c r="J87" s="25"/>
      <c r="K87" s="25"/>
      <c r="L87" s="34"/>
      <c r="M87" s="25"/>
      <c r="N87" s="52">
        <v>0</v>
      </c>
      <c r="O87" s="25"/>
      <c r="P87" s="5"/>
    </row>
    <row r="88" spans="1:17" ht="15.6" x14ac:dyDescent="0.3">
      <c r="A88" s="24"/>
      <c r="B88" s="25" t="s">
        <v>30</v>
      </c>
      <c r="C88" s="25"/>
      <c r="D88" s="25"/>
      <c r="E88" s="25"/>
      <c r="F88" s="25"/>
      <c r="G88" s="25"/>
      <c r="H88" s="25"/>
      <c r="I88" s="25"/>
      <c r="J88" s="25"/>
      <c r="K88" s="25"/>
      <c r="L88" s="34">
        <f>L84+L86+L85</f>
        <v>18745</v>
      </c>
      <c r="M88" s="25"/>
      <c r="N88" s="53">
        <f>N84+N86+N85+N87</f>
        <v>4684</v>
      </c>
      <c r="O88" s="25"/>
      <c r="P88" s="5"/>
    </row>
    <row r="89" spans="1:17" ht="15.6" x14ac:dyDescent="0.3">
      <c r="A89" s="24"/>
      <c r="B89" s="113" t="s">
        <v>31</v>
      </c>
      <c r="C89" s="25"/>
      <c r="D89" s="25"/>
      <c r="E89" s="25"/>
      <c r="F89" s="25"/>
      <c r="G89" s="25"/>
      <c r="H89" s="25"/>
      <c r="I89" s="25"/>
      <c r="J89" s="25"/>
      <c r="K89" s="25"/>
      <c r="L89" s="34"/>
      <c r="M89" s="25"/>
      <c r="N89" s="52"/>
      <c r="O89" s="25"/>
      <c r="P89" s="5"/>
    </row>
    <row r="90" spans="1:17" ht="15.6" x14ac:dyDescent="0.3">
      <c r="A90" s="24">
        <v>1</v>
      </c>
      <c r="B90" s="25" t="s">
        <v>32</v>
      </c>
      <c r="C90" s="25"/>
      <c r="D90" s="25"/>
      <c r="E90" s="25"/>
      <c r="F90" s="25"/>
      <c r="G90" s="25"/>
      <c r="H90" s="25"/>
      <c r="I90" s="25"/>
      <c r="J90" s="25"/>
      <c r="K90" s="25"/>
      <c r="L90" s="25"/>
      <c r="M90" s="25"/>
      <c r="N90" s="52">
        <v>0</v>
      </c>
      <c r="O90" s="25"/>
      <c r="P90" s="5"/>
    </row>
    <row r="91" spans="1:17" ht="15.6" x14ac:dyDescent="0.3">
      <c r="A91" s="24">
        <f>+A90+1</f>
        <v>2</v>
      </c>
      <c r="B91" s="25" t="s">
        <v>224</v>
      </c>
      <c r="C91" s="25"/>
      <c r="D91" s="25"/>
      <c r="E91" s="25"/>
      <c r="F91" s="25"/>
      <c r="G91" s="25"/>
      <c r="H91" s="25"/>
      <c r="I91" s="25"/>
      <c r="J91" s="25"/>
      <c r="K91" s="25"/>
      <c r="L91" s="25"/>
      <c r="M91" s="25"/>
      <c r="N91" s="52">
        <v>-2</v>
      </c>
      <c r="O91" s="25"/>
      <c r="P91" s="5"/>
    </row>
    <row r="92" spans="1:17" ht="15.6" x14ac:dyDescent="0.3">
      <c r="A92" s="24">
        <f>+A91+1</f>
        <v>3</v>
      </c>
      <c r="B92" s="25" t="s">
        <v>235</v>
      </c>
      <c r="C92" s="25"/>
      <c r="D92" s="25"/>
      <c r="E92" s="25"/>
      <c r="F92" s="25"/>
      <c r="G92" s="25"/>
      <c r="H92" s="25"/>
      <c r="I92" s="25"/>
      <c r="J92" s="25"/>
      <c r="K92" s="25"/>
      <c r="L92" s="25"/>
      <c r="M92" s="25"/>
      <c r="N92" s="52">
        <f>-81-9-3-29</f>
        <v>-122</v>
      </c>
      <c r="O92" s="25"/>
      <c r="P92" s="5"/>
    </row>
    <row r="93" spans="1:17" ht="15.6" x14ac:dyDescent="0.3">
      <c r="A93" s="24" t="s">
        <v>123</v>
      </c>
      <c r="B93" s="25" t="s">
        <v>116</v>
      </c>
      <c r="C93" s="25"/>
      <c r="D93" s="25"/>
      <c r="E93" s="25"/>
      <c r="F93" s="25"/>
      <c r="G93" s="25"/>
      <c r="H93" s="25"/>
      <c r="I93" s="25"/>
      <c r="J93" s="25"/>
      <c r="K93" s="25"/>
      <c r="L93" s="25"/>
      <c r="M93" s="25"/>
      <c r="N93" s="52">
        <v>0</v>
      </c>
      <c r="O93" s="25"/>
      <c r="P93" s="5"/>
    </row>
    <row r="94" spans="1:17" ht="15.6" x14ac:dyDescent="0.3">
      <c r="A94" s="24" t="s">
        <v>124</v>
      </c>
      <c r="B94" s="25" t="s">
        <v>214</v>
      </c>
      <c r="C94" s="25"/>
      <c r="D94" s="25"/>
      <c r="E94" s="25"/>
      <c r="F94" s="25"/>
      <c r="G94" s="25"/>
      <c r="H94" s="25"/>
      <c r="I94" s="25"/>
      <c r="J94" s="25"/>
      <c r="K94" s="25"/>
      <c r="L94" s="25"/>
      <c r="M94" s="25"/>
      <c r="N94" s="52">
        <v>-3543</v>
      </c>
      <c r="O94" s="25"/>
      <c r="P94" s="5"/>
    </row>
    <row r="95" spans="1:17" ht="15.6" x14ac:dyDescent="0.3">
      <c r="A95" s="24" t="s">
        <v>140</v>
      </c>
      <c r="B95" s="25" t="s">
        <v>180</v>
      </c>
      <c r="C95" s="25"/>
      <c r="D95" s="25"/>
      <c r="E95" s="25"/>
      <c r="F95" s="25"/>
      <c r="G95" s="25"/>
      <c r="H95" s="25"/>
      <c r="I95" s="25"/>
      <c r="J95" s="25"/>
      <c r="K95" s="25"/>
      <c r="L95" s="25"/>
      <c r="M95" s="25"/>
      <c r="N95" s="52">
        <v>-2</v>
      </c>
      <c r="O95" s="25"/>
      <c r="P95" s="5"/>
    </row>
    <row r="96" spans="1:17" ht="15.6" x14ac:dyDescent="0.3">
      <c r="A96" s="24" t="s">
        <v>169</v>
      </c>
      <c r="B96" s="25" t="s">
        <v>215</v>
      </c>
      <c r="C96" s="25"/>
      <c r="D96" s="25"/>
      <c r="E96" s="25"/>
      <c r="F96" s="25"/>
      <c r="G96" s="25"/>
      <c r="H96" s="25"/>
      <c r="I96" s="25"/>
      <c r="J96" s="25"/>
      <c r="K96" s="25"/>
      <c r="L96" s="25"/>
      <c r="M96" s="25"/>
      <c r="N96" s="52">
        <v>-70</v>
      </c>
      <c r="O96" s="25"/>
      <c r="P96" s="5"/>
      <c r="Q96" s="104"/>
    </row>
    <row r="97" spans="1:17" ht="15.6" x14ac:dyDescent="0.3">
      <c r="A97" s="24" t="s">
        <v>170</v>
      </c>
      <c r="B97" s="25" t="s">
        <v>216</v>
      </c>
      <c r="C97" s="25"/>
      <c r="D97" s="25"/>
      <c r="E97" s="25"/>
      <c r="F97" s="25"/>
      <c r="G97" s="25"/>
      <c r="H97" s="25"/>
      <c r="I97" s="25"/>
      <c r="J97" s="25"/>
      <c r="K97" s="25"/>
      <c r="L97" s="25"/>
      <c r="M97" s="25"/>
      <c r="N97" s="52">
        <v>-71</v>
      </c>
      <c r="O97" s="25"/>
      <c r="P97" s="5"/>
      <c r="Q97" s="104"/>
    </row>
    <row r="98" spans="1:17" ht="15.6" x14ac:dyDescent="0.3">
      <c r="A98" s="24">
        <v>7</v>
      </c>
      <c r="B98" s="25" t="s">
        <v>33</v>
      </c>
      <c r="C98" s="25"/>
      <c r="D98" s="25"/>
      <c r="E98" s="25"/>
      <c r="F98" s="25"/>
      <c r="G98" s="25"/>
      <c r="H98" s="25"/>
      <c r="I98" s="25"/>
      <c r="J98" s="25"/>
      <c r="K98" s="25"/>
      <c r="L98" s="25"/>
      <c r="M98" s="25"/>
      <c r="N98" s="52">
        <v>-9</v>
      </c>
      <c r="O98" s="25"/>
      <c r="P98" s="5"/>
    </row>
    <row r="99" spans="1:17" ht="15.6" x14ac:dyDescent="0.3">
      <c r="A99" s="24">
        <f t="shared" ref="A99:A105" si="0">+A98+1</f>
        <v>8</v>
      </c>
      <c r="B99" s="25" t="s">
        <v>42</v>
      </c>
      <c r="C99" s="25"/>
      <c r="D99" s="25"/>
      <c r="E99" s="25"/>
      <c r="F99" s="25"/>
      <c r="G99" s="25"/>
      <c r="H99" s="25"/>
      <c r="I99" s="25"/>
      <c r="J99" s="25"/>
      <c r="K99" s="25"/>
      <c r="L99" s="34">
        <f>-N99</f>
        <v>0</v>
      </c>
      <c r="M99" s="25"/>
      <c r="N99" s="52">
        <v>0</v>
      </c>
      <c r="O99" s="25"/>
      <c r="P99" s="5"/>
    </row>
    <row r="100" spans="1:17" ht="15.6" x14ac:dyDescent="0.3">
      <c r="A100" s="24">
        <f t="shared" si="0"/>
        <v>9</v>
      </c>
      <c r="B100" s="25" t="s">
        <v>121</v>
      </c>
      <c r="C100" s="25"/>
      <c r="D100" s="25"/>
      <c r="E100" s="25"/>
      <c r="F100" s="25"/>
      <c r="G100" s="25"/>
      <c r="H100" s="25"/>
      <c r="I100" s="25"/>
      <c r="J100" s="25"/>
      <c r="K100" s="25"/>
      <c r="L100" s="25"/>
      <c r="M100" s="25"/>
      <c r="N100" s="52">
        <v>0</v>
      </c>
      <c r="O100" s="25"/>
      <c r="P100" s="5"/>
    </row>
    <row r="101" spans="1:17" ht="15.6" x14ac:dyDescent="0.3">
      <c r="A101" s="24">
        <f t="shared" si="0"/>
        <v>10</v>
      </c>
      <c r="B101" s="25" t="s">
        <v>182</v>
      </c>
      <c r="C101" s="25"/>
      <c r="D101" s="25"/>
      <c r="E101" s="25"/>
      <c r="F101" s="25"/>
      <c r="G101" s="25"/>
      <c r="H101" s="25"/>
      <c r="I101" s="25"/>
      <c r="J101" s="25"/>
      <c r="K101" s="25"/>
      <c r="L101" s="25"/>
      <c r="M101" s="25"/>
      <c r="N101" s="52">
        <v>0</v>
      </c>
      <c r="O101" s="25"/>
      <c r="P101" s="5"/>
    </row>
    <row r="102" spans="1:17" ht="15.6" x14ac:dyDescent="0.3">
      <c r="A102" s="24">
        <f t="shared" si="0"/>
        <v>11</v>
      </c>
      <c r="B102" s="25" t="s">
        <v>34</v>
      </c>
      <c r="C102" s="25"/>
      <c r="D102" s="25"/>
      <c r="E102" s="25"/>
      <c r="F102" s="25"/>
      <c r="G102" s="25"/>
      <c r="H102" s="25"/>
      <c r="I102" s="25"/>
      <c r="J102" s="25"/>
      <c r="K102" s="25"/>
      <c r="L102" s="25"/>
      <c r="M102" s="25"/>
      <c r="N102" s="52">
        <v>0</v>
      </c>
      <c r="O102" s="25"/>
      <c r="P102" s="5"/>
    </row>
    <row r="103" spans="1:17" ht="15.6" x14ac:dyDescent="0.3">
      <c r="A103" s="24">
        <f t="shared" si="0"/>
        <v>12</v>
      </c>
      <c r="B103" s="25" t="s">
        <v>181</v>
      </c>
      <c r="C103" s="25"/>
      <c r="D103" s="25"/>
      <c r="E103" s="25"/>
      <c r="F103" s="25"/>
      <c r="G103" s="25"/>
      <c r="H103" s="25"/>
      <c r="I103" s="25"/>
      <c r="J103" s="25"/>
      <c r="K103" s="25"/>
      <c r="L103" s="25"/>
      <c r="M103" s="25"/>
      <c r="N103" s="52">
        <v>0</v>
      </c>
      <c r="O103" s="25"/>
      <c r="P103" s="5"/>
    </row>
    <row r="104" spans="1:17" ht="15.6" x14ac:dyDescent="0.3">
      <c r="A104" s="24">
        <f t="shared" si="0"/>
        <v>13</v>
      </c>
      <c r="B104" s="25" t="s">
        <v>139</v>
      </c>
      <c r="C104" s="25"/>
      <c r="D104" s="25"/>
      <c r="E104" s="25"/>
      <c r="F104" s="25"/>
      <c r="G104" s="25"/>
      <c r="H104" s="25"/>
      <c r="I104" s="25"/>
      <c r="J104" s="25"/>
      <c r="K104" s="25"/>
      <c r="L104" s="25"/>
      <c r="M104" s="25"/>
      <c r="N104" s="52">
        <v>-80</v>
      </c>
      <c r="O104" s="25"/>
      <c r="P104" s="5"/>
    </row>
    <row r="105" spans="1:17" ht="15.6" x14ac:dyDescent="0.3">
      <c r="A105" s="24">
        <f t="shared" si="0"/>
        <v>14</v>
      </c>
      <c r="B105" s="25" t="s">
        <v>122</v>
      </c>
      <c r="C105" s="25"/>
      <c r="D105" s="25"/>
      <c r="E105" s="25"/>
      <c r="F105" s="25"/>
      <c r="G105" s="25"/>
      <c r="H105" s="25"/>
      <c r="I105" s="25"/>
      <c r="J105" s="25"/>
      <c r="K105" s="25"/>
      <c r="L105" s="25"/>
      <c r="M105" s="25"/>
      <c r="N105" s="52">
        <f>-N88-SUM(N90:N104)</f>
        <v>-785</v>
      </c>
      <c r="O105" s="25"/>
      <c r="P105" s="5"/>
    </row>
    <row r="106" spans="1:17" ht="15.6" x14ac:dyDescent="0.3">
      <c r="A106" s="24"/>
      <c r="B106" s="113" t="s">
        <v>35</v>
      </c>
      <c r="C106" s="25"/>
      <c r="D106" s="25"/>
      <c r="E106" s="25"/>
      <c r="F106" s="25"/>
      <c r="G106" s="25"/>
      <c r="H106" s="25"/>
      <c r="I106" s="25"/>
      <c r="J106" s="25"/>
      <c r="K106" s="25"/>
      <c r="L106" s="25"/>
      <c r="M106" s="25"/>
      <c r="N106" s="57"/>
      <c r="O106" s="25"/>
      <c r="P106" s="5"/>
    </row>
    <row r="107" spans="1:17" ht="15.6" x14ac:dyDescent="0.3">
      <c r="A107" s="24"/>
      <c r="B107" s="25" t="s">
        <v>160</v>
      </c>
      <c r="C107" s="25"/>
      <c r="D107" s="25"/>
      <c r="E107" s="25"/>
      <c r="F107" s="25"/>
      <c r="G107" s="25"/>
      <c r="H107" s="25"/>
      <c r="I107" s="25"/>
      <c r="J107" s="25"/>
      <c r="K107" s="25"/>
      <c r="L107" s="34">
        <v>0</v>
      </c>
      <c r="M107" s="34"/>
      <c r="N107" s="52"/>
      <c r="O107" s="25"/>
      <c r="P107" s="5"/>
    </row>
    <row r="108" spans="1:17" ht="15.6" x14ac:dyDescent="0.3">
      <c r="A108" s="24"/>
      <c r="B108" s="25" t="s">
        <v>161</v>
      </c>
      <c r="C108" s="25"/>
      <c r="D108" s="25"/>
      <c r="E108" s="25"/>
      <c r="F108" s="25"/>
      <c r="G108" s="25"/>
      <c r="H108" s="25"/>
      <c r="I108" s="25"/>
      <c r="J108" s="25"/>
      <c r="K108" s="25"/>
      <c r="L108" s="34">
        <v>-887</v>
      </c>
      <c r="M108" s="34"/>
      <c r="N108" s="52"/>
      <c r="O108" s="25"/>
      <c r="P108" s="5"/>
    </row>
    <row r="109" spans="1:17" ht="15.6" x14ac:dyDescent="0.3">
      <c r="A109" s="24"/>
      <c r="B109" s="25" t="s">
        <v>200</v>
      </c>
      <c r="C109" s="25"/>
      <c r="D109" s="25"/>
      <c r="E109" s="25"/>
      <c r="F109" s="25"/>
      <c r="G109" s="25"/>
      <c r="H109" s="25"/>
      <c r="I109" s="25"/>
      <c r="J109" s="25"/>
      <c r="K109" s="25"/>
      <c r="L109" s="34">
        <v>-17858</v>
      </c>
      <c r="M109" s="34"/>
      <c r="N109" s="52"/>
      <c r="O109" s="25"/>
      <c r="P109" s="5"/>
    </row>
    <row r="110" spans="1:17" ht="15.6" x14ac:dyDescent="0.3">
      <c r="A110" s="24"/>
      <c r="B110" s="25" t="s">
        <v>201</v>
      </c>
      <c r="C110" s="25"/>
      <c r="D110" s="25"/>
      <c r="E110" s="25"/>
      <c r="F110" s="25"/>
      <c r="G110" s="25"/>
      <c r="H110" s="25"/>
      <c r="I110" s="25"/>
      <c r="J110" s="25"/>
      <c r="K110" s="25"/>
      <c r="L110" s="34">
        <v>0</v>
      </c>
      <c r="M110" s="34"/>
      <c r="N110" s="52"/>
      <c r="O110" s="25"/>
      <c r="P110" s="5"/>
    </row>
    <row r="111" spans="1:17" ht="15.6" x14ac:dyDescent="0.3">
      <c r="A111" s="24"/>
      <c r="B111" s="25" t="s">
        <v>202</v>
      </c>
      <c r="C111" s="25"/>
      <c r="D111" s="25"/>
      <c r="E111" s="25"/>
      <c r="F111" s="25"/>
      <c r="G111" s="25"/>
      <c r="H111" s="25"/>
      <c r="I111" s="25"/>
      <c r="J111" s="25"/>
      <c r="K111" s="25"/>
      <c r="L111" s="34">
        <v>0</v>
      </c>
      <c r="M111" s="34"/>
      <c r="N111" s="52"/>
      <c r="O111" s="25"/>
      <c r="P111" s="5"/>
    </row>
    <row r="112" spans="1:17" ht="15.6" x14ac:dyDescent="0.3">
      <c r="A112" s="24"/>
      <c r="B112" s="25" t="s">
        <v>36</v>
      </c>
      <c r="C112" s="25"/>
      <c r="D112" s="25"/>
      <c r="E112" s="25"/>
      <c r="F112" s="25"/>
      <c r="G112" s="25"/>
      <c r="H112" s="25"/>
      <c r="I112" s="25"/>
      <c r="J112" s="25"/>
      <c r="K112" s="25"/>
      <c r="L112" s="34">
        <f>SUM(L107:L111)</f>
        <v>-18745</v>
      </c>
      <c r="M112" s="34"/>
      <c r="N112" s="34">
        <f>SUM(N89:N110)</f>
        <v>-4684</v>
      </c>
      <c r="O112" s="25"/>
      <c r="P112" s="5"/>
    </row>
    <row r="113" spans="1:17" ht="15.6" x14ac:dyDescent="0.3">
      <c r="A113" s="24"/>
      <c r="B113" s="25" t="s">
        <v>37</v>
      </c>
      <c r="C113" s="25"/>
      <c r="D113" s="25"/>
      <c r="E113" s="25"/>
      <c r="F113" s="25"/>
      <c r="G113" s="25"/>
      <c r="H113" s="25"/>
      <c r="I113" s="25"/>
      <c r="J113" s="25"/>
      <c r="K113" s="25"/>
      <c r="L113" s="34">
        <f>L88+L112+L99</f>
        <v>0</v>
      </c>
      <c r="M113" s="34"/>
      <c r="N113" s="34">
        <f>N88+N112</f>
        <v>0</v>
      </c>
      <c r="O113" s="25"/>
      <c r="P113" s="5"/>
    </row>
    <row r="114" spans="1:17" ht="15.6" x14ac:dyDescent="0.3">
      <c r="A114" s="24"/>
      <c r="B114" s="25"/>
      <c r="C114" s="25"/>
      <c r="D114" s="25"/>
      <c r="E114" s="25"/>
      <c r="F114" s="25"/>
      <c r="G114" s="25"/>
      <c r="H114" s="25"/>
      <c r="I114" s="25"/>
      <c r="J114" s="25"/>
      <c r="K114" s="25"/>
      <c r="L114" s="34"/>
      <c r="M114" s="34"/>
      <c r="N114" s="34"/>
      <c r="O114" s="25"/>
      <c r="P114" s="5"/>
    </row>
    <row r="115" spans="1:17" ht="15.6" x14ac:dyDescent="0.3">
      <c r="A115" s="6"/>
      <c r="B115" s="8"/>
      <c r="C115" s="8"/>
      <c r="D115" s="8"/>
      <c r="E115" s="8"/>
      <c r="F115" s="8"/>
      <c r="G115" s="8"/>
      <c r="H115" s="8"/>
      <c r="I115" s="8"/>
      <c r="J115" s="8"/>
      <c r="K115" s="8"/>
      <c r="L115" s="8"/>
      <c r="M115" s="8"/>
      <c r="N115" s="51"/>
      <c r="O115" s="8"/>
      <c r="P115" s="5"/>
    </row>
    <row r="116" spans="1:17" ht="18" thickBot="1" x14ac:dyDescent="0.35">
      <c r="A116" s="96"/>
      <c r="B116" s="97" t="str">
        <f>B52</f>
        <v>FF7 INVESTOR REPORT QUARTER ENDING NOVEMBER 2007</v>
      </c>
      <c r="C116" s="98"/>
      <c r="D116" s="98"/>
      <c r="E116" s="98"/>
      <c r="F116" s="98"/>
      <c r="G116" s="98"/>
      <c r="H116" s="98"/>
      <c r="I116" s="98"/>
      <c r="J116" s="98"/>
      <c r="K116" s="98"/>
      <c r="L116" s="98"/>
      <c r="M116" s="98"/>
      <c r="N116" s="101"/>
      <c r="O116" s="100"/>
      <c r="P116" s="5"/>
    </row>
    <row r="117" spans="1:17" ht="15.6" x14ac:dyDescent="0.3">
      <c r="A117" s="2"/>
      <c r="B117" s="58" t="s">
        <v>38</v>
      </c>
      <c r="C117" s="4"/>
      <c r="D117" s="4"/>
      <c r="E117" s="4"/>
      <c r="F117" s="4"/>
      <c r="G117" s="4"/>
      <c r="H117" s="4"/>
      <c r="I117" s="4"/>
      <c r="J117" s="4"/>
      <c r="K117" s="4"/>
      <c r="L117" s="4"/>
      <c r="M117" s="4"/>
      <c r="N117" s="49"/>
      <c r="O117" s="4"/>
      <c r="P117" s="5"/>
    </row>
    <row r="118" spans="1:17" ht="15.6" x14ac:dyDescent="0.3">
      <c r="A118" s="6"/>
      <c r="B118" s="21"/>
      <c r="C118" s="8"/>
      <c r="D118" s="8"/>
      <c r="E118" s="8"/>
      <c r="F118" s="8"/>
      <c r="G118" s="8"/>
      <c r="H118" s="8"/>
      <c r="I118" s="8"/>
      <c r="J118" s="8"/>
      <c r="K118" s="8"/>
      <c r="L118" s="8"/>
      <c r="M118" s="8"/>
      <c r="N118" s="51"/>
      <c r="O118" s="8"/>
      <c r="P118" s="5"/>
    </row>
    <row r="119" spans="1:17" ht="15.6" x14ac:dyDescent="0.3">
      <c r="A119" s="6"/>
      <c r="B119" s="114" t="s">
        <v>39</v>
      </c>
      <c r="C119" s="8"/>
      <c r="D119" s="8"/>
      <c r="E119" s="8"/>
      <c r="F119" s="8"/>
      <c r="G119" s="8"/>
      <c r="H119" s="8"/>
      <c r="I119" s="8"/>
      <c r="J119" s="8"/>
      <c r="K119" s="8"/>
      <c r="L119" s="8"/>
      <c r="M119" s="8"/>
      <c r="N119" s="51"/>
      <c r="O119" s="8"/>
      <c r="P119" s="5"/>
    </row>
    <row r="120" spans="1:17" ht="15.6" x14ac:dyDescent="0.3">
      <c r="A120" s="24"/>
      <c r="B120" s="25" t="s">
        <v>40</v>
      </c>
      <c r="C120" s="25"/>
      <c r="D120" s="25"/>
      <c r="E120" s="25"/>
      <c r="F120" s="25"/>
      <c r="G120" s="25"/>
      <c r="H120" s="25"/>
      <c r="I120" s="25"/>
      <c r="J120" s="25"/>
      <c r="K120" s="25"/>
      <c r="L120" s="25"/>
      <c r="M120" s="25"/>
      <c r="N120" s="52">
        <f>N28*0.003</f>
        <v>805.80000000000007</v>
      </c>
      <c r="O120" s="25"/>
      <c r="P120" s="5"/>
    </row>
    <row r="121" spans="1:17" ht="15.6" x14ac:dyDescent="0.3">
      <c r="A121" s="24"/>
      <c r="B121" s="25" t="s">
        <v>41</v>
      </c>
      <c r="C121" s="25"/>
      <c r="D121" s="25"/>
      <c r="E121" s="25"/>
      <c r="F121" s="25"/>
      <c r="G121" s="25"/>
      <c r="H121" s="25"/>
      <c r="I121" s="25"/>
      <c r="J121" s="25"/>
      <c r="K121" s="25"/>
      <c r="L121" s="25"/>
      <c r="M121" s="25"/>
      <c r="N121" s="52">
        <v>806</v>
      </c>
      <c r="O121" s="25"/>
      <c r="P121" s="5"/>
    </row>
    <row r="122" spans="1:17" ht="15.6" x14ac:dyDescent="0.3">
      <c r="A122" s="24"/>
      <c r="B122" s="25" t="s">
        <v>132</v>
      </c>
      <c r="C122" s="25"/>
      <c r="D122" s="25"/>
      <c r="E122" s="25"/>
      <c r="F122" s="25"/>
      <c r="G122" s="25"/>
      <c r="H122" s="25"/>
      <c r="I122" s="25"/>
      <c r="J122" s="25"/>
      <c r="K122" s="25"/>
      <c r="L122" s="25"/>
      <c r="M122" s="25"/>
      <c r="N122" s="52">
        <v>0</v>
      </c>
      <c r="O122" s="25"/>
      <c r="P122" s="5"/>
    </row>
    <row r="123" spans="1:17" ht="15.6" x14ac:dyDescent="0.3">
      <c r="A123" s="24"/>
      <c r="B123" s="25" t="s">
        <v>221</v>
      </c>
      <c r="C123" s="25"/>
      <c r="D123" s="25"/>
      <c r="E123" s="25"/>
      <c r="F123" s="25"/>
      <c r="G123" s="25"/>
      <c r="H123" s="25"/>
      <c r="I123" s="25"/>
      <c r="J123" s="25"/>
      <c r="K123" s="25"/>
      <c r="L123" s="25"/>
      <c r="M123" s="25"/>
      <c r="N123" s="52">
        <v>0</v>
      </c>
      <c r="O123" s="25"/>
      <c r="P123" s="5"/>
    </row>
    <row r="124" spans="1:17" ht="15.6" x14ac:dyDescent="0.3">
      <c r="A124" s="24"/>
      <c r="B124" s="25" t="s">
        <v>222</v>
      </c>
      <c r="C124" s="25"/>
      <c r="D124" s="25"/>
      <c r="E124" s="25"/>
      <c r="F124" s="25"/>
      <c r="G124" s="25"/>
      <c r="H124" s="25"/>
      <c r="I124" s="25"/>
      <c r="J124" s="25"/>
      <c r="K124" s="25"/>
      <c r="L124" s="25"/>
      <c r="M124" s="25"/>
      <c r="N124" s="52">
        <v>0</v>
      </c>
      <c r="O124" s="25"/>
      <c r="P124" s="5"/>
    </row>
    <row r="125" spans="1:17" ht="15.6" x14ac:dyDescent="0.3">
      <c r="A125" s="24"/>
      <c r="B125" s="25" t="s">
        <v>223</v>
      </c>
      <c r="C125" s="25"/>
      <c r="D125" s="25"/>
      <c r="E125" s="25"/>
      <c r="F125" s="25"/>
      <c r="G125" s="25"/>
      <c r="H125" s="25"/>
      <c r="I125" s="25"/>
      <c r="J125" s="25"/>
      <c r="K125" s="25"/>
      <c r="L125" s="25"/>
      <c r="M125" s="25"/>
      <c r="N125" s="52">
        <v>0</v>
      </c>
      <c r="O125" s="25"/>
      <c r="P125" s="5"/>
    </row>
    <row r="126" spans="1:17" ht="15.6" x14ac:dyDescent="0.3">
      <c r="A126" s="24"/>
      <c r="B126" s="25" t="s">
        <v>42</v>
      </c>
      <c r="C126" s="25"/>
      <c r="D126" s="25"/>
      <c r="E126" s="25"/>
      <c r="F126" s="25"/>
      <c r="G126" s="25"/>
      <c r="H126" s="25"/>
      <c r="I126" s="25"/>
      <c r="J126" s="25"/>
      <c r="K126" s="25"/>
      <c r="L126" s="25"/>
      <c r="M126" s="25"/>
      <c r="N126" s="52">
        <v>0</v>
      </c>
      <c r="O126" s="25"/>
      <c r="P126" s="5"/>
    </row>
    <row r="127" spans="1:17" ht="15.6" x14ac:dyDescent="0.3">
      <c r="A127" s="24"/>
      <c r="B127" s="25" t="s">
        <v>125</v>
      </c>
      <c r="C127" s="25"/>
      <c r="D127" s="25"/>
      <c r="E127" s="25"/>
      <c r="F127" s="25"/>
      <c r="G127" s="25"/>
      <c r="H127" s="25"/>
      <c r="I127" s="25"/>
      <c r="J127" s="25"/>
      <c r="K127" s="25"/>
      <c r="L127" s="25"/>
      <c r="M127" s="25"/>
      <c r="N127" s="52">
        <v>0</v>
      </c>
      <c r="O127" s="25"/>
      <c r="P127" s="5"/>
    </row>
    <row r="128" spans="1:17" ht="15.6" x14ac:dyDescent="0.3">
      <c r="A128" s="24"/>
      <c r="B128" s="25" t="s">
        <v>225</v>
      </c>
      <c r="C128" s="25"/>
      <c r="D128" s="25"/>
      <c r="E128" s="25"/>
      <c r="F128" s="25"/>
      <c r="G128" s="25"/>
      <c r="H128" s="25"/>
      <c r="I128" s="25"/>
      <c r="J128" s="25"/>
      <c r="K128" s="25"/>
      <c r="L128" s="25"/>
      <c r="M128" s="25"/>
      <c r="N128" s="52">
        <v>0</v>
      </c>
      <c r="O128" s="25"/>
      <c r="P128" s="5"/>
      <c r="Q128" s="104"/>
    </row>
    <row r="129" spans="1:16" ht="15.6" x14ac:dyDescent="0.3">
      <c r="A129" s="24"/>
      <c r="B129" s="25" t="s">
        <v>43</v>
      </c>
      <c r="C129" s="25"/>
      <c r="D129" s="25"/>
      <c r="E129" s="25"/>
      <c r="F129" s="25"/>
      <c r="G129" s="25"/>
      <c r="H129" s="25"/>
      <c r="I129" s="25"/>
      <c r="J129" s="25"/>
      <c r="K129" s="25"/>
      <c r="L129" s="25"/>
      <c r="M129" s="25"/>
      <c r="N129" s="52">
        <f>SUM(N121:N128)</f>
        <v>806</v>
      </c>
      <c r="O129" s="25"/>
      <c r="P129" s="5"/>
    </row>
    <row r="130" spans="1:16" ht="15.6" x14ac:dyDescent="0.3">
      <c r="A130" s="24"/>
      <c r="B130" s="25"/>
      <c r="C130" s="25"/>
      <c r="D130" s="25"/>
      <c r="E130" s="25"/>
      <c r="F130" s="25"/>
      <c r="G130" s="25"/>
      <c r="H130" s="25"/>
      <c r="I130" s="25"/>
      <c r="J130" s="25"/>
      <c r="K130" s="25"/>
      <c r="L130" s="25"/>
      <c r="M130" s="25"/>
      <c r="N130" s="52"/>
      <c r="O130" s="25"/>
      <c r="P130" s="5"/>
    </row>
    <row r="131" spans="1:16" ht="15.6" x14ac:dyDescent="0.3">
      <c r="A131" s="24"/>
      <c r="B131" s="130" t="s">
        <v>179</v>
      </c>
      <c r="C131" s="25"/>
      <c r="D131" s="25"/>
      <c r="E131" s="25"/>
      <c r="F131" s="25"/>
      <c r="G131" s="25"/>
      <c r="H131" s="25"/>
      <c r="I131" s="25"/>
      <c r="J131" s="25"/>
      <c r="K131" s="25"/>
      <c r="L131" s="25"/>
      <c r="M131" s="25"/>
      <c r="N131" s="52"/>
      <c r="O131" s="25"/>
      <c r="P131" s="5"/>
    </row>
    <row r="132" spans="1:16" ht="15.6" x14ac:dyDescent="0.3">
      <c r="A132" s="24"/>
      <c r="B132" s="25" t="s">
        <v>144</v>
      </c>
      <c r="C132" s="25"/>
      <c r="D132" s="25"/>
      <c r="E132" s="25"/>
      <c r="F132" s="25"/>
      <c r="G132" s="25"/>
      <c r="H132" s="25"/>
      <c r="I132" s="25"/>
      <c r="J132" s="25"/>
      <c r="K132" s="25"/>
      <c r="L132" s="25"/>
      <c r="M132" s="25"/>
      <c r="N132" s="52">
        <v>7098</v>
      </c>
      <c r="O132" s="25"/>
      <c r="P132" s="5"/>
    </row>
    <row r="133" spans="1:16" ht="15.6" x14ac:dyDescent="0.3">
      <c r="A133" s="24"/>
      <c r="B133" s="25" t="s">
        <v>159</v>
      </c>
      <c r="C133" s="25"/>
      <c r="D133" s="25"/>
      <c r="E133" s="25"/>
      <c r="F133" s="25"/>
      <c r="G133" s="25"/>
      <c r="H133" s="25"/>
      <c r="I133" s="25"/>
      <c r="J133" s="25"/>
      <c r="K133" s="25"/>
      <c r="L133" s="25"/>
      <c r="M133" s="25"/>
      <c r="N133" s="52">
        <v>0</v>
      </c>
      <c r="O133" s="25"/>
      <c r="P133" s="5"/>
    </row>
    <row r="134" spans="1:16" ht="15.6" x14ac:dyDescent="0.3">
      <c r="A134" s="24"/>
      <c r="B134" s="25" t="s">
        <v>183</v>
      </c>
      <c r="C134" s="25"/>
      <c r="D134" s="25"/>
      <c r="E134" s="25"/>
      <c r="F134" s="25"/>
      <c r="G134" s="25"/>
      <c r="H134" s="25"/>
      <c r="I134" s="25"/>
      <c r="J134" s="25"/>
      <c r="K134" s="25"/>
      <c r="L134" s="25"/>
      <c r="M134" s="25"/>
      <c r="N134" s="52">
        <v>5735</v>
      </c>
      <c r="O134" s="25"/>
      <c r="P134" s="5"/>
    </row>
    <row r="135" spans="1:16" ht="15.6" x14ac:dyDescent="0.3">
      <c r="A135" s="24"/>
      <c r="B135" s="25"/>
      <c r="C135" s="25"/>
      <c r="D135" s="25"/>
      <c r="E135" s="25"/>
      <c r="F135" s="25"/>
      <c r="G135" s="25"/>
      <c r="H135" s="25"/>
      <c r="I135" s="25"/>
      <c r="J135" s="25"/>
      <c r="K135" s="25"/>
      <c r="L135" s="25"/>
      <c r="M135" s="25"/>
      <c r="N135" s="52"/>
      <c r="O135" s="25"/>
      <c r="P135" s="5"/>
    </row>
    <row r="136" spans="1:16" ht="15.6" x14ac:dyDescent="0.3">
      <c r="A136" s="24"/>
      <c r="B136" s="25"/>
      <c r="C136" s="25"/>
      <c r="D136" s="25"/>
      <c r="E136" s="25"/>
      <c r="F136" s="25"/>
      <c r="G136" s="25"/>
      <c r="H136" s="25"/>
      <c r="I136" s="25"/>
      <c r="J136" s="25"/>
      <c r="K136" s="25"/>
      <c r="L136" s="25"/>
      <c r="M136" s="25"/>
      <c r="N136" s="59"/>
      <c r="O136" s="25"/>
      <c r="P136" s="5"/>
    </row>
    <row r="137" spans="1:16" ht="15.6" x14ac:dyDescent="0.3">
      <c r="A137" s="6"/>
      <c r="B137" s="114" t="s">
        <v>22</v>
      </c>
      <c r="C137" s="8"/>
      <c r="D137" s="8"/>
      <c r="E137" s="8"/>
      <c r="F137" s="8"/>
      <c r="G137" s="8"/>
      <c r="H137" s="8"/>
      <c r="I137" s="8"/>
      <c r="J137" s="8"/>
      <c r="K137" s="8"/>
      <c r="L137" s="8"/>
      <c r="M137" s="8"/>
      <c r="N137" s="51"/>
      <c r="O137" s="8"/>
      <c r="P137" s="5"/>
    </row>
    <row r="138" spans="1:16" ht="15.6" x14ac:dyDescent="0.3">
      <c r="A138" s="24"/>
      <c r="B138" s="25" t="s">
        <v>44</v>
      </c>
      <c r="C138" s="25"/>
      <c r="D138" s="25"/>
      <c r="E138" s="25"/>
      <c r="F138" s="25"/>
      <c r="G138" s="25"/>
      <c r="H138" s="25"/>
      <c r="I138" s="25"/>
      <c r="J138" s="25"/>
      <c r="K138" s="25"/>
      <c r="L138" s="25"/>
      <c r="M138" s="25"/>
      <c r="N138" s="57" t="s">
        <v>117</v>
      </c>
      <c r="O138" s="25"/>
      <c r="P138" s="5"/>
    </row>
    <row r="139" spans="1:16" ht="15.6" x14ac:dyDescent="0.3">
      <c r="A139" s="24"/>
      <c r="B139" s="25" t="s">
        <v>45</v>
      </c>
      <c r="C139" s="175"/>
      <c r="D139" s="175"/>
      <c r="E139" s="175"/>
      <c r="F139" s="175"/>
      <c r="G139" s="175"/>
      <c r="H139" s="175"/>
      <c r="I139" s="175"/>
      <c r="J139" s="175"/>
      <c r="K139" s="175"/>
      <c r="L139" s="175"/>
      <c r="M139" s="175"/>
      <c r="N139" s="57" t="s">
        <v>117</v>
      </c>
      <c r="O139" s="25"/>
      <c r="P139" s="5"/>
    </row>
    <row r="140" spans="1:16" ht="15.6" x14ac:dyDescent="0.3">
      <c r="A140" s="24"/>
      <c r="B140" s="25" t="s">
        <v>46</v>
      </c>
      <c r="C140" s="25"/>
      <c r="D140" s="25"/>
      <c r="E140" s="25"/>
      <c r="F140" s="25"/>
      <c r="G140" s="25"/>
      <c r="H140" s="25"/>
      <c r="I140" s="25"/>
      <c r="J140" s="25"/>
      <c r="K140" s="25"/>
      <c r="L140" s="25"/>
      <c r="M140" s="25"/>
      <c r="N140" s="57" t="s">
        <v>117</v>
      </c>
      <c r="O140" s="25"/>
      <c r="P140" s="5"/>
    </row>
    <row r="141" spans="1:16" ht="15.6" x14ac:dyDescent="0.3">
      <c r="A141" s="24"/>
      <c r="B141" s="25" t="s">
        <v>47</v>
      </c>
      <c r="C141" s="25"/>
      <c r="D141" s="25"/>
      <c r="E141" s="25"/>
      <c r="F141" s="25"/>
      <c r="G141" s="25"/>
      <c r="H141" s="25"/>
      <c r="I141" s="25"/>
      <c r="J141" s="25"/>
      <c r="K141" s="25"/>
      <c r="L141" s="25"/>
      <c r="M141" s="25"/>
      <c r="N141" s="57" t="s">
        <v>117</v>
      </c>
      <c r="O141" s="25"/>
      <c r="P141" s="5"/>
    </row>
    <row r="142" spans="1:16" ht="15.6" x14ac:dyDescent="0.3">
      <c r="A142" s="24"/>
      <c r="B142" s="25"/>
      <c r="C142" s="25"/>
      <c r="D142" s="25"/>
      <c r="E142" s="25"/>
      <c r="F142" s="25"/>
      <c r="G142" s="25"/>
      <c r="H142" s="25"/>
      <c r="I142" s="25"/>
      <c r="J142" s="25"/>
      <c r="K142" s="25"/>
      <c r="L142" s="25"/>
      <c r="M142" s="25"/>
      <c r="N142" s="59"/>
      <c r="O142" s="25"/>
      <c r="P142" s="5"/>
    </row>
    <row r="143" spans="1:16" ht="15.6" x14ac:dyDescent="0.3">
      <c r="A143" s="6"/>
      <c r="B143" s="114" t="s">
        <v>48</v>
      </c>
      <c r="C143" s="8"/>
      <c r="D143" s="8"/>
      <c r="E143" s="8"/>
      <c r="F143" s="8"/>
      <c r="G143" s="8"/>
      <c r="H143" s="8"/>
      <c r="I143" s="8"/>
      <c r="J143" s="8"/>
      <c r="K143" s="8"/>
      <c r="L143" s="8"/>
      <c r="M143" s="8"/>
      <c r="N143" s="61"/>
      <c r="O143" s="8"/>
      <c r="P143" s="5"/>
    </row>
    <row r="144" spans="1:16" ht="15.6" x14ac:dyDescent="0.3">
      <c r="A144" s="24"/>
      <c r="B144" s="25" t="s">
        <v>49</v>
      </c>
      <c r="C144" s="25"/>
      <c r="D144" s="25"/>
      <c r="E144" s="25"/>
      <c r="F144" s="25"/>
      <c r="G144" s="25"/>
      <c r="H144" s="25"/>
      <c r="I144" s="25"/>
      <c r="J144" s="25"/>
      <c r="K144" s="25"/>
      <c r="L144" s="25"/>
      <c r="M144" s="25"/>
      <c r="N144" s="52">
        <v>0</v>
      </c>
      <c r="O144" s="25"/>
      <c r="P144" s="5"/>
    </row>
    <row r="145" spans="1:256" ht="15.6" x14ac:dyDescent="0.3">
      <c r="A145" s="24"/>
      <c r="B145" s="25" t="s">
        <v>50</v>
      </c>
      <c r="C145" s="25"/>
      <c r="D145" s="25"/>
      <c r="E145" s="25"/>
      <c r="F145" s="25"/>
      <c r="G145" s="25"/>
      <c r="H145" s="25"/>
      <c r="I145" s="25"/>
      <c r="J145" s="25"/>
      <c r="K145" s="25"/>
      <c r="L145" s="25"/>
      <c r="M145" s="25"/>
      <c r="N145" s="52">
        <v>0</v>
      </c>
      <c r="O145" s="25"/>
      <c r="P145" s="5"/>
    </row>
    <row r="146" spans="1:256" ht="15.6" x14ac:dyDescent="0.3">
      <c r="A146" s="24"/>
      <c r="B146" s="25" t="s">
        <v>51</v>
      </c>
      <c r="C146" s="25"/>
      <c r="D146" s="25"/>
      <c r="E146" s="25"/>
      <c r="F146" s="25"/>
      <c r="G146" s="25"/>
      <c r="H146" s="25"/>
      <c r="I146" s="25"/>
      <c r="J146" s="25"/>
      <c r="K146" s="25"/>
      <c r="L146" s="25"/>
      <c r="M146" s="25"/>
      <c r="N146" s="52">
        <f>N145+N144</f>
        <v>0</v>
      </c>
      <c r="O146" s="25"/>
      <c r="P146" s="5"/>
    </row>
    <row r="147" spans="1:256" ht="15.6" x14ac:dyDescent="0.3">
      <c r="A147" s="24"/>
      <c r="B147" s="25" t="s">
        <v>264</v>
      </c>
      <c r="C147" s="25"/>
      <c r="D147" s="25"/>
      <c r="E147" s="25"/>
      <c r="F147" s="25"/>
      <c r="G147" s="25"/>
      <c r="H147" s="25"/>
      <c r="I147" s="25"/>
      <c r="J147" s="25"/>
      <c r="K147" s="25"/>
      <c r="L147" s="25"/>
      <c r="M147" s="25"/>
      <c r="N147" s="52">
        <v>0</v>
      </c>
      <c r="O147" s="25"/>
      <c r="P147" s="5"/>
    </row>
    <row r="148" spans="1:256" ht="15.6" x14ac:dyDescent="0.3">
      <c r="A148" s="24"/>
      <c r="B148" s="25" t="s">
        <v>52</v>
      </c>
      <c r="C148" s="25"/>
      <c r="D148" s="25"/>
      <c r="E148" s="25"/>
      <c r="F148" s="25"/>
      <c r="G148" s="25"/>
      <c r="H148" s="25"/>
      <c r="I148" s="25"/>
      <c r="J148" s="25"/>
      <c r="K148" s="25"/>
      <c r="L148" s="25"/>
      <c r="M148" s="25"/>
      <c r="N148" s="52">
        <f>N146+N147</f>
        <v>0</v>
      </c>
      <c r="O148" s="25"/>
      <c r="P148" s="5"/>
    </row>
    <row r="149" spans="1:256" ht="16.2" thickBot="1" x14ac:dyDescent="0.35">
      <c r="A149" s="24"/>
      <c r="B149" s="25"/>
      <c r="C149" s="25"/>
      <c r="D149" s="25"/>
      <c r="E149" s="25"/>
      <c r="F149" s="25"/>
      <c r="G149" s="25"/>
      <c r="H149" s="25"/>
      <c r="I149" s="25"/>
      <c r="J149" s="25"/>
      <c r="K149" s="25"/>
      <c r="L149" s="25"/>
      <c r="M149" s="25"/>
      <c r="N149" s="59"/>
      <c r="O149" s="25"/>
      <c r="P149" s="5"/>
    </row>
    <row r="150" spans="1:256" ht="15.6" x14ac:dyDescent="0.3">
      <c r="A150" s="2"/>
      <c r="B150" s="4"/>
      <c r="C150" s="4"/>
      <c r="D150" s="4"/>
      <c r="E150" s="4"/>
      <c r="F150" s="4"/>
      <c r="G150" s="4"/>
      <c r="H150" s="4"/>
      <c r="I150" s="4"/>
      <c r="J150" s="4"/>
      <c r="K150" s="4"/>
      <c r="L150" s="4"/>
      <c r="M150" s="4"/>
      <c r="N150" s="49"/>
      <c r="O150" s="4"/>
      <c r="P150" s="5"/>
    </row>
    <row r="151" spans="1:256" ht="15.6" x14ac:dyDescent="0.3">
      <c r="A151" s="6"/>
      <c r="B151" s="114" t="s">
        <v>53</v>
      </c>
      <c r="C151" s="8"/>
      <c r="D151" s="8"/>
      <c r="E151" s="8"/>
      <c r="F151" s="8"/>
      <c r="G151" s="8"/>
      <c r="H151" s="8"/>
      <c r="I151" s="8"/>
      <c r="J151" s="8"/>
      <c r="K151" s="8"/>
      <c r="L151" s="8"/>
      <c r="M151" s="8"/>
      <c r="N151" s="51"/>
      <c r="O151" s="8"/>
      <c r="P151" s="5"/>
    </row>
    <row r="152" spans="1:256" ht="15.6" x14ac:dyDescent="0.3">
      <c r="A152" s="6"/>
      <c r="B152" s="21"/>
      <c r="C152" s="8"/>
      <c r="D152" s="8"/>
      <c r="E152" s="8"/>
      <c r="F152" s="8"/>
      <c r="G152" s="8"/>
      <c r="H152" s="8"/>
      <c r="I152" s="8"/>
      <c r="J152" s="8"/>
      <c r="K152" s="8"/>
      <c r="L152" s="8"/>
      <c r="M152" s="8"/>
      <c r="N152" s="51"/>
      <c r="O152" s="8"/>
      <c r="P152" s="5"/>
    </row>
    <row r="153" spans="1:256" ht="15.6" x14ac:dyDescent="0.3">
      <c r="A153" s="24"/>
      <c r="B153" s="25" t="s">
        <v>234</v>
      </c>
      <c r="C153" s="25"/>
      <c r="D153" s="25"/>
      <c r="E153" s="25"/>
      <c r="F153" s="25"/>
      <c r="G153" s="25"/>
      <c r="H153" s="25"/>
      <c r="I153" s="25"/>
      <c r="J153" s="25"/>
      <c r="K153" s="25"/>
      <c r="L153" s="25"/>
      <c r="M153" s="25"/>
      <c r="N153" s="52">
        <f>N57</f>
        <v>197053</v>
      </c>
      <c r="O153" s="25"/>
      <c r="P153" s="5"/>
      <c r="Q153" s="104"/>
    </row>
    <row r="154" spans="1:256" ht="15.6" x14ac:dyDescent="0.3">
      <c r="A154" s="24"/>
      <c r="B154" s="25" t="s">
        <v>54</v>
      </c>
      <c r="C154" s="25"/>
      <c r="D154" s="25"/>
      <c r="E154" s="25"/>
      <c r="F154" s="25"/>
      <c r="G154" s="25"/>
      <c r="H154" s="25"/>
      <c r="I154" s="25"/>
      <c r="J154" s="25"/>
      <c r="K154" s="25"/>
      <c r="L154" s="25"/>
      <c r="M154" s="25"/>
      <c r="N154" s="52">
        <f>N73</f>
        <v>197053</v>
      </c>
      <c r="O154" s="25"/>
      <c r="P154" s="5"/>
    </row>
    <row r="155" spans="1:256" ht="16.2" thickBot="1" x14ac:dyDescent="0.35">
      <c r="A155" s="24"/>
      <c r="B155" s="25"/>
      <c r="C155" s="25"/>
      <c r="D155" s="25"/>
      <c r="E155" s="25"/>
      <c r="F155" s="25"/>
      <c r="G155" s="25"/>
      <c r="H155" s="25"/>
      <c r="I155" s="25"/>
      <c r="J155" s="25"/>
      <c r="K155" s="25"/>
      <c r="L155" s="25"/>
      <c r="M155" s="25"/>
      <c r="N155" s="59"/>
      <c r="O155" s="25"/>
      <c r="P155" s="5"/>
    </row>
    <row r="156" spans="1:256" s="150" customFormat="1" ht="15.6" x14ac:dyDescent="0.3">
      <c r="A156" s="2"/>
      <c r="B156" s="4"/>
      <c r="C156" s="4"/>
      <c r="D156" s="4"/>
      <c r="E156" s="4"/>
      <c r="F156" s="4"/>
      <c r="G156" s="4"/>
      <c r="H156" s="4"/>
      <c r="I156" s="4"/>
      <c r="J156" s="4"/>
      <c r="K156" s="4"/>
      <c r="L156" s="4"/>
      <c r="M156" s="4"/>
      <c r="N156" s="49"/>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s="153" customFormat="1" ht="15.6" x14ac:dyDescent="0.3">
      <c r="A157" s="6"/>
      <c r="B157" s="160" t="s">
        <v>205</v>
      </c>
      <c r="C157" s="151"/>
      <c r="D157" s="151"/>
      <c r="E157" s="151"/>
      <c r="F157" s="151"/>
      <c r="G157" s="151"/>
      <c r="H157" s="151"/>
      <c r="I157" s="151"/>
      <c r="J157" s="151"/>
      <c r="K157" s="151"/>
      <c r="L157" s="151"/>
      <c r="M157" s="151"/>
      <c r="N157" s="152"/>
      <c r="O157" s="151"/>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ht="16.2" thickBot="1" x14ac:dyDescent="0.35">
      <c r="A158" s="6"/>
      <c r="B158" s="151"/>
      <c r="C158" s="151"/>
      <c r="D158" s="151"/>
      <c r="E158" s="151"/>
      <c r="F158" s="151"/>
      <c r="G158" s="151"/>
      <c r="H158" s="151"/>
      <c r="I158" s="151"/>
      <c r="J158" s="151"/>
      <c r="K158" s="151"/>
      <c r="L158" s="151"/>
      <c r="M158" s="151"/>
      <c r="N158" s="152"/>
      <c r="O158" s="151"/>
      <c r="P158" s="5"/>
    </row>
    <row r="159" spans="1:256" s="156" customFormat="1" ht="15.6" x14ac:dyDescent="0.3">
      <c r="A159" s="2"/>
      <c r="B159" s="4" t="s">
        <v>206</v>
      </c>
      <c r="C159" s="4"/>
      <c r="D159" s="4"/>
      <c r="E159" s="4"/>
      <c r="F159" s="4"/>
      <c r="G159" s="4"/>
      <c r="H159" s="4"/>
      <c r="I159" s="4"/>
      <c r="J159" s="4"/>
      <c r="K159" s="4"/>
      <c r="L159" s="4"/>
      <c r="M159" s="4"/>
      <c r="N159" s="185">
        <v>648</v>
      </c>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53" customFormat="1" ht="15.6" x14ac:dyDescent="0.3">
      <c r="A160" s="181"/>
      <c r="B160" s="182" t="s">
        <v>207</v>
      </c>
      <c r="C160" s="182"/>
      <c r="D160" s="182"/>
      <c r="E160" s="182"/>
      <c r="F160" s="182"/>
      <c r="G160" s="182"/>
      <c r="H160" s="182"/>
      <c r="I160" s="182"/>
      <c r="J160" s="182"/>
      <c r="K160" s="182"/>
      <c r="L160" s="182"/>
      <c r="M160" s="182"/>
      <c r="N160" s="183">
        <v>10</v>
      </c>
      <c r="O160" s="18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63" customFormat="1" ht="15.6" x14ac:dyDescent="0.3">
      <c r="A161" s="181"/>
      <c r="B161" s="182" t="s">
        <v>208</v>
      </c>
      <c r="C161" s="182"/>
      <c r="D161" s="182"/>
      <c r="E161" s="182"/>
      <c r="F161" s="182"/>
      <c r="G161" s="182"/>
      <c r="H161" s="182"/>
      <c r="I161" s="182"/>
      <c r="J161" s="182"/>
      <c r="K161" s="182"/>
      <c r="L161" s="182"/>
      <c r="M161" s="182"/>
      <c r="N161" s="183">
        <v>0</v>
      </c>
      <c r="O161" s="18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5.6" x14ac:dyDescent="0.3">
      <c r="A162" s="181"/>
      <c r="B162" s="182" t="s">
        <v>217</v>
      </c>
      <c r="C162" s="182"/>
      <c r="D162" s="182"/>
      <c r="E162" s="182"/>
      <c r="F162" s="182"/>
      <c r="G162" s="182"/>
      <c r="H162" s="182"/>
      <c r="I162" s="182"/>
      <c r="J162" s="182"/>
      <c r="K162" s="182"/>
      <c r="L162" s="182"/>
      <c r="M162" s="182"/>
      <c r="N162" s="183">
        <f>N159-N160-N161</f>
        <v>638</v>
      </c>
      <c r="O162" s="18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59" customFormat="1" ht="16.2" thickBot="1" x14ac:dyDescent="0.35">
      <c r="A163" s="6"/>
      <c r="B163" s="151"/>
      <c r="C163" s="151"/>
      <c r="D163" s="151"/>
      <c r="E163" s="151"/>
      <c r="F163" s="151"/>
      <c r="G163" s="151"/>
      <c r="H163" s="151"/>
      <c r="I163" s="151"/>
      <c r="J163" s="151"/>
      <c r="K163" s="151"/>
      <c r="L163" s="151"/>
      <c r="M163" s="151"/>
      <c r="N163" s="165"/>
      <c r="O163" s="151"/>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s="173" customFormat="1" ht="15.6" x14ac:dyDescent="0.3">
      <c r="A164" s="168"/>
      <c r="B164" s="169"/>
      <c r="C164" s="169"/>
      <c r="D164" s="169"/>
      <c r="E164" s="169"/>
      <c r="F164" s="169"/>
      <c r="G164" s="169"/>
      <c r="H164" s="169"/>
      <c r="I164" s="169"/>
      <c r="J164" s="169"/>
      <c r="K164" s="169"/>
      <c r="L164" s="169"/>
      <c r="M164" s="169"/>
      <c r="N164" s="170"/>
      <c r="O164" s="169"/>
      <c r="P164" s="172"/>
    </row>
    <row r="165" spans="1:256" ht="15.6" x14ac:dyDescent="0.3">
      <c r="A165" s="6"/>
      <c r="B165" s="114" t="s">
        <v>55</v>
      </c>
      <c r="C165" s="112"/>
      <c r="D165" s="115"/>
      <c r="E165" s="115"/>
      <c r="F165" s="115"/>
      <c r="G165" s="115"/>
      <c r="H165" s="115"/>
      <c r="I165" s="115"/>
      <c r="J165" s="115"/>
      <c r="K165" s="115" t="s">
        <v>98</v>
      </c>
      <c r="L165" s="115" t="s">
        <v>226</v>
      </c>
      <c r="M165" s="106"/>
      <c r="N165" s="116" t="s">
        <v>114</v>
      </c>
      <c r="O165" s="10"/>
      <c r="P165" s="5"/>
    </row>
    <row r="166" spans="1:256" ht="15.6" x14ac:dyDescent="0.3">
      <c r="A166" s="24"/>
      <c r="B166" s="25" t="s">
        <v>56</v>
      </c>
      <c r="C166" s="25"/>
      <c r="D166" s="25"/>
      <c r="E166" s="25"/>
      <c r="F166" s="25"/>
      <c r="G166" s="25"/>
      <c r="H166" s="25"/>
      <c r="I166" s="25"/>
      <c r="J166" s="25"/>
      <c r="K166" s="52" t="s">
        <v>117</v>
      </c>
      <c r="L166" s="40" t="s">
        <v>117</v>
      </c>
      <c r="M166" s="25"/>
      <c r="N166" s="52"/>
      <c r="O166" s="25"/>
      <c r="P166" s="5"/>
    </row>
    <row r="167" spans="1:256" ht="15.6" x14ac:dyDescent="0.3">
      <c r="A167" s="24"/>
      <c r="B167" s="25" t="s">
        <v>57</v>
      </c>
      <c r="C167" s="25"/>
      <c r="D167" s="25"/>
      <c r="E167" s="25"/>
      <c r="F167" s="25"/>
      <c r="G167" s="25"/>
      <c r="H167" s="25"/>
      <c r="I167" s="25"/>
      <c r="J167" s="25"/>
      <c r="K167" s="52">
        <v>0</v>
      </c>
      <c r="L167" s="52">
        <f>+'Aug 07'!L168</f>
        <v>3624</v>
      </c>
      <c r="M167" s="25"/>
      <c r="N167" s="52">
        <f>K167+L167</f>
        <v>3624</v>
      </c>
      <c r="O167" s="25"/>
      <c r="P167" s="5"/>
    </row>
    <row r="168" spans="1:256" ht="15.6" x14ac:dyDescent="0.3">
      <c r="A168" s="24"/>
      <c r="B168" s="25" t="s">
        <v>58</v>
      </c>
      <c r="C168" s="25"/>
      <c r="D168" s="25"/>
      <c r="E168" s="25"/>
      <c r="F168" s="25"/>
      <c r="G168" s="25"/>
      <c r="H168" s="25"/>
      <c r="I168" s="25"/>
      <c r="J168" s="25"/>
      <c r="K168" s="34">
        <v>0</v>
      </c>
      <c r="L168" s="34">
        <v>887</v>
      </c>
      <c r="M168" s="25"/>
      <c r="N168" s="52">
        <f>K168+L168</f>
        <v>887</v>
      </c>
      <c r="O168" s="25"/>
      <c r="P168" s="5"/>
    </row>
    <row r="169" spans="1:256" ht="15.6" x14ac:dyDescent="0.3">
      <c r="A169" s="24"/>
      <c r="B169" s="25" t="s">
        <v>59</v>
      </c>
      <c r="C169" s="25"/>
      <c r="D169" s="25"/>
      <c r="E169" s="25"/>
      <c r="F169" s="25"/>
      <c r="G169" s="25"/>
      <c r="H169" s="25"/>
      <c r="I169" s="25"/>
      <c r="J169" s="25"/>
      <c r="K169" s="52">
        <f>K167+K168</f>
        <v>0</v>
      </c>
      <c r="L169" s="52">
        <f>L168+L167</f>
        <v>4511</v>
      </c>
      <c r="M169" s="25"/>
      <c r="N169" s="52">
        <f>K169+L169</f>
        <v>4511</v>
      </c>
      <c r="O169" s="25"/>
      <c r="P169" s="5"/>
    </row>
    <row r="170" spans="1:256" ht="15.6" x14ac:dyDescent="0.3">
      <c r="A170" s="24"/>
      <c r="B170" s="25" t="s">
        <v>60</v>
      </c>
      <c r="C170" s="25"/>
      <c r="D170" s="25"/>
      <c r="E170" s="25"/>
      <c r="F170" s="25"/>
      <c r="G170" s="25"/>
      <c r="H170" s="25"/>
      <c r="I170" s="25"/>
      <c r="J170" s="25"/>
      <c r="K170" s="52" t="s">
        <v>117</v>
      </c>
      <c r="L170" s="40" t="s">
        <v>117</v>
      </c>
      <c r="M170" s="25"/>
      <c r="N170" s="52"/>
      <c r="O170" s="25"/>
      <c r="P170" s="5"/>
    </row>
    <row r="171" spans="1:256" ht="16.2" thickBot="1" x14ac:dyDescent="0.35">
      <c r="A171" s="24"/>
      <c r="B171" s="25"/>
      <c r="C171" s="25"/>
      <c r="D171" s="25"/>
      <c r="E171" s="25"/>
      <c r="F171" s="25"/>
      <c r="G171" s="25"/>
      <c r="H171" s="25"/>
      <c r="I171" s="25"/>
      <c r="J171" s="25"/>
      <c r="K171" s="25"/>
      <c r="L171" s="25"/>
      <c r="M171" s="25"/>
      <c r="N171" s="59"/>
      <c r="O171" s="25"/>
      <c r="P171" s="5"/>
    </row>
    <row r="172" spans="1:256" ht="15.6" x14ac:dyDescent="0.3">
      <c r="A172" s="2"/>
      <c r="B172" s="4"/>
      <c r="C172" s="4"/>
      <c r="D172" s="4"/>
      <c r="E172" s="4"/>
      <c r="F172" s="4"/>
      <c r="G172" s="4"/>
      <c r="H172" s="4"/>
      <c r="I172" s="4"/>
      <c r="J172" s="4"/>
      <c r="K172" s="4"/>
      <c r="L172" s="4"/>
      <c r="M172" s="4"/>
      <c r="N172" s="49"/>
      <c r="O172" s="4"/>
      <c r="P172" s="5"/>
    </row>
    <row r="173" spans="1:256" ht="15.6" x14ac:dyDescent="0.3">
      <c r="A173" s="6"/>
      <c r="B173" s="114" t="s">
        <v>61</v>
      </c>
      <c r="C173" s="8"/>
      <c r="D173" s="8"/>
      <c r="E173" s="8"/>
      <c r="F173" s="8"/>
      <c r="G173" s="8"/>
      <c r="H173" s="8"/>
      <c r="I173" s="8"/>
      <c r="J173" s="8"/>
      <c r="K173" s="8"/>
      <c r="L173" s="8"/>
      <c r="M173" s="8"/>
      <c r="N173" s="63"/>
      <c r="O173" s="8"/>
      <c r="P173" s="5"/>
    </row>
    <row r="174" spans="1:256" ht="15.6" x14ac:dyDescent="0.3">
      <c r="A174" s="24"/>
      <c r="B174" s="25" t="s">
        <v>62</v>
      </c>
      <c r="C174" s="25"/>
      <c r="D174" s="25"/>
      <c r="E174" s="25"/>
      <c r="F174" s="25"/>
      <c r="G174" s="25"/>
      <c r="H174" s="25"/>
      <c r="I174" s="25"/>
      <c r="J174" s="25"/>
      <c r="K174" s="25"/>
      <c r="L174" s="25"/>
      <c r="M174" s="25"/>
      <c r="N174" s="57">
        <f>(N88+N90+N91+N92+N93)/-N94</f>
        <v>1.2870448772226926</v>
      </c>
      <c r="O174" s="25" t="s">
        <v>115</v>
      </c>
      <c r="P174" s="5"/>
    </row>
    <row r="175" spans="1:256" ht="15.6" x14ac:dyDescent="0.3">
      <c r="A175" s="24"/>
      <c r="B175" s="25" t="s">
        <v>63</v>
      </c>
      <c r="C175" s="25"/>
      <c r="D175" s="25"/>
      <c r="E175" s="25"/>
      <c r="F175" s="25"/>
      <c r="G175" s="25"/>
      <c r="H175" s="25"/>
      <c r="I175" s="25"/>
      <c r="J175" s="25"/>
      <c r="K175" s="25"/>
      <c r="L175" s="25"/>
      <c r="M175" s="25"/>
      <c r="N175" s="64">
        <v>1.39</v>
      </c>
      <c r="O175" s="25" t="s">
        <v>115</v>
      </c>
      <c r="P175" s="5"/>
    </row>
    <row r="176" spans="1:256" ht="15.6" x14ac:dyDescent="0.3">
      <c r="A176" s="24"/>
      <c r="B176" s="25" t="s">
        <v>64</v>
      </c>
      <c r="C176" s="25"/>
      <c r="D176" s="25"/>
      <c r="E176" s="25"/>
      <c r="F176" s="25"/>
      <c r="G176" s="25"/>
      <c r="H176" s="25"/>
      <c r="I176" s="25"/>
      <c r="J176" s="25"/>
      <c r="K176" s="25"/>
      <c r="L176" s="25"/>
      <c r="M176" s="25"/>
      <c r="N176" s="57">
        <f>(N88+N90+N91+N92+N93+N94)/-N96</f>
        <v>14.528571428571428</v>
      </c>
      <c r="O176" s="25" t="s">
        <v>115</v>
      </c>
      <c r="P176" s="5"/>
    </row>
    <row r="177" spans="1:16" ht="15.6" x14ac:dyDescent="0.3">
      <c r="A177" s="24"/>
      <c r="B177" s="25" t="s">
        <v>65</v>
      </c>
      <c r="C177" s="25"/>
      <c r="D177" s="25"/>
      <c r="E177" s="25"/>
      <c r="F177" s="25"/>
      <c r="G177" s="25"/>
      <c r="H177" s="25"/>
      <c r="I177" s="25"/>
      <c r="J177" s="25"/>
      <c r="K177" s="25"/>
      <c r="L177" s="25"/>
      <c r="M177" s="25"/>
      <c r="N177" s="64">
        <v>22.51</v>
      </c>
      <c r="O177" s="25" t="s">
        <v>115</v>
      </c>
      <c r="P177" s="5"/>
    </row>
    <row r="178" spans="1:16" ht="15.6" x14ac:dyDescent="0.3">
      <c r="A178" s="24"/>
      <c r="B178" s="25" t="s">
        <v>166</v>
      </c>
      <c r="C178" s="25"/>
      <c r="D178" s="25"/>
      <c r="E178" s="25"/>
      <c r="F178" s="25"/>
      <c r="G178" s="25"/>
      <c r="H178" s="25"/>
      <c r="I178" s="25"/>
      <c r="J178" s="25"/>
      <c r="K178" s="25"/>
      <c r="L178" s="25"/>
      <c r="M178" s="25"/>
      <c r="N178" s="57">
        <f>(N88+N90+N91+N92+N93+N94+N96)/-N97</f>
        <v>13.338028169014084</v>
      </c>
      <c r="O178" s="25" t="s">
        <v>115</v>
      </c>
      <c r="P178" s="5"/>
    </row>
    <row r="179" spans="1:16" ht="15.6" x14ac:dyDescent="0.3">
      <c r="A179" s="24"/>
      <c r="B179" s="25" t="s">
        <v>167</v>
      </c>
      <c r="C179" s="25"/>
      <c r="D179" s="25"/>
      <c r="E179" s="25"/>
      <c r="F179" s="25"/>
      <c r="G179" s="25"/>
      <c r="H179" s="25"/>
      <c r="I179" s="25"/>
      <c r="J179" s="25"/>
      <c r="K179" s="25"/>
      <c r="L179" s="25"/>
      <c r="M179" s="25"/>
      <c r="N179" s="64">
        <v>21.14</v>
      </c>
      <c r="O179" s="25" t="s">
        <v>115</v>
      </c>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24"/>
      <c r="B181" s="25"/>
      <c r="C181" s="25"/>
      <c r="D181" s="25"/>
      <c r="E181" s="25"/>
      <c r="F181" s="25"/>
      <c r="G181" s="25"/>
      <c r="H181" s="25"/>
      <c r="I181" s="25"/>
      <c r="J181" s="25"/>
      <c r="K181" s="25"/>
      <c r="L181" s="25"/>
      <c r="M181" s="25"/>
      <c r="N181" s="25"/>
      <c r="O181" s="25"/>
      <c r="P181" s="5"/>
    </row>
    <row r="182" spans="1:16" ht="15.6" x14ac:dyDescent="0.3">
      <c r="A182" s="6"/>
      <c r="B182" s="8"/>
      <c r="C182" s="8"/>
      <c r="D182" s="8"/>
      <c r="E182" s="8"/>
      <c r="F182" s="8"/>
      <c r="G182" s="8"/>
      <c r="H182" s="8"/>
      <c r="I182" s="8"/>
      <c r="J182" s="8"/>
      <c r="K182" s="8"/>
      <c r="L182" s="8"/>
      <c r="M182" s="8"/>
      <c r="N182" s="8"/>
      <c r="O182" s="8"/>
      <c r="P182" s="5"/>
    </row>
    <row r="183" spans="1:16" ht="18" thickBot="1" x14ac:dyDescent="0.35">
      <c r="A183" s="96"/>
      <c r="B183" s="97" t="str">
        <f>B116</f>
        <v>FF7 INVESTOR REPORT QUARTER ENDING NOVEMBER 2007</v>
      </c>
      <c r="C183" s="177"/>
      <c r="D183" s="177"/>
      <c r="E183" s="177"/>
      <c r="F183" s="177"/>
      <c r="G183" s="177"/>
      <c r="H183" s="177"/>
      <c r="I183" s="177"/>
      <c r="J183" s="177"/>
      <c r="K183" s="177"/>
      <c r="L183" s="177"/>
      <c r="M183" s="177"/>
      <c r="N183" s="177"/>
      <c r="O183" s="178"/>
      <c r="P183" s="5"/>
    </row>
    <row r="184" spans="1:16" ht="15.6" x14ac:dyDescent="0.3">
      <c r="A184" s="65"/>
      <c r="B184" s="58" t="s">
        <v>66</v>
      </c>
      <c r="C184" s="66"/>
      <c r="D184" s="67"/>
      <c r="E184" s="67"/>
      <c r="F184" s="67"/>
      <c r="G184" s="67"/>
      <c r="H184" s="67"/>
      <c r="I184" s="67"/>
      <c r="J184" s="67"/>
      <c r="K184" s="67"/>
      <c r="L184" s="68">
        <v>39416</v>
      </c>
      <c r="M184" s="4"/>
      <c r="N184" s="4"/>
      <c r="O184" s="4"/>
      <c r="P184" s="5"/>
    </row>
    <row r="185" spans="1:16" ht="15.6" x14ac:dyDescent="0.3">
      <c r="A185" s="69"/>
      <c r="B185" s="70"/>
      <c r="C185" s="71"/>
      <c r="D185" s="72"/>
      <c r="E185" s="72"/>
      <c r="F185" s="72"/>
      <c r="G185" s="72"/>
      <c r="H185" s="72"/>
      <c r="I185" s="72"/>
      <c r="J185" s="72"/>
      <c r="K185" s="72"/>
      <c r="L185" s="72"/>
      <c r="M185" s="8"/>
      <c r="N185" s="8"/>
      <c r="O185" s="8"/>
      <c r="P185" s="5"/>
    </row>
    <row r="186" spans="1:16" ht="15.6" x14ac:dyDescent="0.3">
      <c r="A186" s="73"/>
      <c r="B186" s="74" t="s">
        <v>67</v>
      </c>
      <c r="C186" s="75"/>
      <c r="D186" s="62"/>
      <c r="E186" s="62"/>
      <c r="F186" s="62"/>
      <c r="G186" s="62"/>
      <c r="H186" s="62"/>
      <c r="I186" s="62"/>
      <c r="J186" s="62"/>
      <c r="K186" s="62"/>
      <c r="L186" s="76">
        <v>7.2950000000000001E-2</v>
      </c>
      <c r="M186" s="25"/>
      <c r="N186" s="25"/>
      <c r="O186" s="25"/>
      <c r="P186" s="5"/>
    </row>
    <row r="187" spans="1:16" ht="15.6" x14ac:dyDescent="0.3">
      <c r="A187" s="73"/>
      <c r="B187" s="74" t="s">
        <v>213</v>
      </c>
      <c r="C187" s="75"/>
      <c r="D187" s="62"/>
      <c r="E187" s="62"/>
      <c r="F187" s="62"/>
      <c r="G187" s="62"/>
      <c r="H187" s="62"/>
      <c r="I187" s="62"/>
      <c r="J187" s="62"/>
      <c r="K187" s="62"/>
      <c r="L187" s="39">
        <v>5.79E-2</v>
      </c>
      <c r="M187" s="25"/>
      <c r="N187" s="25"/>
      <c r="O187" s="25"/>
      <c r="P187" s="5"/>
    </row>
    <row r="188" spans="1:16" ht="15.6" x14ac:dyDescent="0.3">
      <c r="A188" s="73"/>
      <c r="B188" s="74" t="s">
        <v>68</v>
      </c>
      <c r="C188" s="75"/>
      <c r="D188" s="62"/>
      <c r="E188" s="62"/>
      <c r="F188" s="62"/>
      <c r="G188" s="62"/>
      <c r="H188" s="62"/>
      <c r="I188" s="62"/>
      <c r="J188" s="62"/>
      <c r="K188" s="62"/>
      <c r="L188" s="76">
        <f>L186-L187</f>
        <v>1.5050000000000001E-2</v>
      </c>
      <c r="M188" s="25"/>
      <c r="N188" s="25"/>
      <c r="O188" s="25"/>
      <c r="P188" s="5"/>
    </row>
    <row r="189" spans="1:16" ht="15.6" x14ac:dyDescent="0.3">
      <c r="A189" s="73"/>
      <c r="B189" s="74" t="s">
        <v>69</v>
      </c>
      <c r="C189" s="75"/>
      <c r="D189" s="62"/>
      <c r="E189" s="62"/>
      <c r="F189" s="62"/>
      <c r="G189" s="62"/>
      <c r="H189" s="62"/>
      <c r="I189" s="62"/>
      <c r="J189" s="62"/>
      <c r="K189" s="62"/>
      <c r="L189" s="76">
        <v>8.1269999999999995E-2</v>
      </c>
      <c r="M189" s="25"/>
      <c r="N189" s="25"/>
      <c r="O189" s="25"/>
      <c r="P189" s="5"/>
    </row>
    <row r="190" spans="1:16" ht="15.6" x14ac:dyDescent="0.3">
      <c r="A190" s="73"/>
      <c r="B190" s="74" t="s">
        <v>212</v>
      </c>
      <c r="C190" s="75"/>
      <c r="D190" s="62"/>
      <c r="E190" s="62"/>
      <c r="F190" s="62"/>
      <c r="G190" s="62"/>
      <c r="H190" s="62"/>
      <c r="I190" s="62"/>
      <c r="J190" s="62"/>
      <c r="K190" s="62"/>
      <c r="L190" s="76">
        <f>N34</f>
        <v>6.875395903221776E-2</v>
      </c>
      <c r="M190" s="25"/>
      <c r="N190" s="25"/>
      <c r="O190" s="25"/>
      <c r="P190" s="5"/>
    </row>
    <row r="191" spans="1:16" ht="15.6" x14ac:dyDescent="0.3">
      <c r="A191" s="73"/>
      <c r="B191" s="74" t="s">
        <v>70</v>
      </c>
      <c r="C191" s="75"/>
      <c r="D191" s="62"/>
      <c r="E191" s="62"/>
      <c r="F191" s="62"/>
      <c r="G191" s="62"/>
      <c r="H191" s="62"/>
      <c r="I191" s="62"/>
      <c r="J191" s="62"/>
      <c r="K191" s="62"/>
      <c r="L191" s="76">
        <f>L189-L190</f>
        <v>1.2516040967782235E-2</v>
      </c>
      <c r="M191" s="25"/>
      <c r="N191" s="25"/>
      <c r="O191" s="25"/>
      <c r="P191" s="5"/>
    </row>
    <row r="192" spans="1:16" ht="15.6" x14ac:dyDescent="0.3">
      <c r="A192" s="73"/>
      <c r="B192" s="74" t="s">
        <v>203</v>
      </c>
      <c r="C192" s="75"/>
      <c r="D192" s="62"/>
      <c r="E192" s="62"/>
      <c r="F192" s="62"/>
      <c r="G192" s="62"/>
      <c r="H192" s="62"/>
      <c r="I192" s="62"/>
      <c r="J192" s="62"/>
      <c r="K192" s="62"/>
      <c r="L192" s="76">
        <f>+N88/F60</f>
        <v>2.1729549682453528E-2</v>
      </c>
      <c r="M192" s="25"/>
      <c r="N192" s="25"/>
      <c r="O192" s="25"/>
      <c r="P192" s="5"/>
    </row>
    <row r="193" spans="1:16" ht="15.6" x14ac:dyDescent="0.3">
      <c r="A193" s="73"/>
      <c r="B193" s="74" t="s">
        <v>171</v>
      </c>
      <c r="C193" s="75"/>
      <c r="D193" s="62"/>
      <c r="E193" s="62"/>
      <c r="F193" s="62"/>
      <c r="G193" s="62"/>
      <c r="H193" s="62"/>
      <c r="I193" s="62"/>
      <c r="J193" s="62"/>
      <c r="K193" s="62"/>
      <c r="L193" s="122">
        <v>48823</v>
      </c>
      <c r="M193" s="25"/>
      <c r="N193" s="25"/>
      <c r="O193" s="25"/>
      <c r="P193" s="5"/>
    </row>
    <row r="194" spans="1:16" ht="15.6" x14ac:dyDescent="0.3">
      <c r="A194" s="73"/>
      <c r="B194" s="74" t="s">
        <v>172</v>
      </c>
      <c r="C194" s="75"/>
      <c r="D194" s="62"/>
      <c r="E194" s="62"/>
      <c r="F194" s="62"/>
      <c r="G194" s="62"/>
      <c r="H194" s="62"/>
      <c r="I194" s="62"/>
      <c r="J194" s="62"/>
      <c r="K194" s="62"/>
      <c r="L194" s="122">
        <v>48823</v>
      </c>
      <c r="M194" s="25"/>
      <c r="N194" s="25"/>
      <c r="O194" s="25"/>
      <c r="P194" s="5"/>
    </row>
    <row r="195" spans="1:16" ht="15.6" x14ac:dyDescent="0.3">
      <c r="A195" s="73"/>
      <c r="B195" s="74" t="s">
        <v>173</v>
      </c>
      <c r="C195" s="75"/>
      <c r="D195" s="62"/>
      <c r="E195" s="62"/>
      <c r="F195" s="62"/>
      <c r="G195" s="62"/>
      <c r="H195" s="62"/>
      <c r="I195" s="62"/>
      <c r="J195" s="62"/>
      <c r="K195" s="62"/>
      <c r="L195" s="122">
        <v>48823</v>
      </c>
      <c r="M195" s="25"/>
      <c r="N195" s="25"/>
      <c r="O195" s="25"/>
      <c r="P195" s="5"/>
    </row>
    <row r="196" spans="1:16" ht="15.6" x14ac:dyDescent="0.3">
      <c r="A196" s="73"/>
      <c r="B196" s="74" t="s">
        <v>71</v>
      </c>
      <c r="C196" s="75"/>
      <c r="D196" s="62"/>
      <c r="E196" s="62"/>
      <c r="F196" s="62"/>
      <c r="G196" s="62"/>
      <c r="H196" s="62"/>
      <c r="I196" s="62"/>
      <c r="J196" s="62"/>
      <c r="K196" s="62"/>
      <c r="L196" s="126">
        <v>9.93</v>
      </c>
      <c r="M196" s="25" t="s">
        <v>110</v>
      </c>
      <c r="N196" s="25"/>
      <c r="O196" s="25"/>
      <c r="P196" s="5"/>
    </row>
    <row r="197" spans="1:16" ht="15.6" x14ac:dyDescent="0.3">
      <c r="A197" s="73"/>
      <c r="B197" s="74" t="s">
        <v>72</v>
      </c>
      <c r="C197" s="75"/>
      <c r="D197" s="62"/>
      <c r="E197" s="62"/>
      <c r="F197" s="62"/>
      <c r="G197" s="62"/>
      <c r="H197" s="62"/>
      <c r="I197" s="62"/>
      <c r="J197" s="62"/>
      <c r="K197" s="62"/>
      <c r="L197" s="126">
        <v>8.83</v>
      </c>
      <c r="M197" s="25" t="s">
        <v>110</v>
      </c>
      <c r="N197" s="25"/>
      <c r="O197" s="25"/>
      <c r="P197" s="5"/>
    </row>
    <row r="198" spans="1:16" ht="15.6" x14ac:dyDescent="0.3">
      <c r="A198" s="73"/>
      <c r="B198" s="74" t="s">
        <v>73</v>
      </c>
      <c r="C198" s="75"/>
      <c r="D198" s="62"/>
      <c r="E198" s="62"/>
      <c r="F198" s="62"/>
      <c r="G198" s="62"/>
      <c r="H198" s="62"/>
      <c r="I198" s="62"/>
      <c r="J198" s="62"/>
      <c r="K198" s="62"/>
      <c r="L198" s="76">
        <f>+H57/F57</f>
        <v>0.10159554420201851</v>
      </c>
      <c r="M198" s="25"/>
      <c r="N198" s="25"/>
      <c r="O198" s="25"/>
      <c r="P198" s="5"/>
    </row>
    <row r="199" spans="1:16" ht="15.6" x14ac:dyDescent="0.3">
      <c r="A199" s="73"/>
      <c r="B199" s="74" t="s">
        <v>74</v>
      </c>
      <c r="C199" s="75"/>
      <c r="D199" s="62"/>
      <c r="E199" s="62"/>
      <c r="F199" s="62"/>
      <c r="G199" s="62"/>
      <c r="H199" s="62"/>
      <c r="I199" s="62"/>
      <c r="J199" s="62"/>
      <c r="K199" s="62"/>
      <c r="L199" s="76">
        <v>0.36670000000000003</v>
      </c>
      <c r="M199" s="25"/>
      <c r="N199" s="25"/>
      <c r="O199" s="25"/>
      <c r="P199" s="5"/>
    </row>
    <row r="200" spans="1:16" ht="15.6" x14ac:dyDescent="0.3">
      <c r="A200" s="73"/>
      <c r="B200" s="74"/>
      <c r="C200" s="74"/>
      <c r="D200" s="25"/>
      <c r="E200" s="25"/>
      <c r="F200" s="25"/>
      <c r="G200" s="25"/>
      <c r="H200" s="25"/>
      <c r="I200" s="25"/>
      <c r="J200" s="25"/>
      <c r="K200" s="25"/>
      <c r="L200" s="59"/>
      <c r="M200" s="25"/>
      <c r="N200" s="77"/>
      <c r="O200" s="25"/>
      <c r="P200" s="5"/>
    </row>
    <row r="201" spans="1:16" ht="15.6" x14ac:dyDescent="0.3">
      <c r="A201" s="78"/>
      <c r="B201" s="14" t="s">
        <v>75</v>
      </c>
      <c r="C201" s="79"/>
      <c r="D201" s="17"/>
      <c r="E201" s="17"/>
      <c r="F201" s="17"/>
      <c r="G201" s="17"/>
      <c r="H201" s="17"/>
      <c r="I201" s="17"/>
      <c r="J201" s="17"/>
      <c r="K201" s="17" t="s">
        <v>99</v>
      </c>
      <c r="L201" s="80" t="s">
        <v>106</v>
      </c>
      <c r="M201" s="8"/>
      <c r="N201" s="8"/>
      <c r="O201" s="8"/>
      <c r="P201" s="5"/>
    </row>
    <row r="202" spans="1:16" ht="15.6" x14ac:dyDescent="0.3">
      <c r="A202" s="81"/>
      <c r="B202" s="74" t="s">
        <v>76</v>
      </c>
      <c r="C202" s="53"/>
      <c r="D202" s="30"/>
      <c r="E202" s="30"/>
      <c r="F202" s="30"/>
      <c r="G202" s="30"/>
      <c r="H202" s="30"/>
      <c r="I202" s="30"/>
      <c r="J202" s="30"/>
      <c r="K202" s="30">
        <v>20</v>
      </c>
      <c r="L202" s="82">
        <v>2684</v>
      </c>
      <c r="M202" s="25"/>
      <c r="N202" s="77"/>
      <c r="O202" s="83"/>
      <c r="P202" s="5"/>
    </row>
    <row r="203" spans="1:16" ht="15.6" x14ac:dyDescent="0.3">
      <c r="A203" s="81"/>
      <c r="B203" s="74" t="s">
        <v>136</v>
      </c>
      <c r="C203" s="53"/>
      <c r="D203" s="30"/>
      <c r="E203" s="30"/>
      <c r="F203" s="30"/>
      <c r="G203" s="30"/>
      <c r="H203" s="30"/>
      <c r="I203" s="30"/>
      <c r="J203" s="30"/>
      <c r="K203" s="142">
        <f>+J253</f>
        <v>0</v>
      </c>
      <c r="L203" s="82">
        <f>+L253</f>
        <v>0</v>
      </c>
      <c r="M203" s="25"/>
      <c r="N203" s="77"/>
      <c r="O203" s="83"/>
      <c r="P203" s="5"/>
    </row>
    <row r="204" spans="1:16" ht="15.6" x14ac:dyDescent="0.3">
      <c r="A204" s="81"/>
      <c r="B204" s="74" t="s">
        <v>77</v>
      </c>
      <c r="C204" s="53"/>
      <c r="D204" s="30"/>
      <c r="E204" s="30"/>
      <c r="F204" s="30"/>
      <c r="G204" s="30"/>
      <c r="H204" s="30"/>
      <c r="I204" s="30"/>
      <c r="J204" s="30"/>
      <c r="K204" s="142">
        <f>+J270</f>
        <v>2</v>
      </c>
      <c r="L204" s="82">
        <f>+L270</f>
        <v>228</v>
      </c>
      <c r="M204" s="25"/>
      <c r="N204" s="77"/>
      <c r="O204" s="83"/>
      <c r="P204" s="5"/>
    </row>
    <row r="205" spans="1:16" ht="15.6" x14ac:dyDescent="0.3">
      <c r="A205" s="81"/>
      <c r="B205" s="117" t="s">
        <v>78</v>
      </c>
      <c r="C205" s="53"/>
      <c r="D205" s="25"/>
      <c r="E205" s="25"/>
      <c r="F205" s="25"/>
      <c r="G205" s="25"/>
      <c r="H205" s="25"/>
      <c r="I205" s="25"/>
      <c r="J205" s="25"/>
      <c r="K205" s="25"/>
      <c r="L205" s="82">
        <v>0</v>
      </c>
      <c r="M205" s="25"/>
      <c r="N205" s="77"/>
      <c r="O205" s="83"/>
      <c r="P205" s="5"/>
    </row>
    <row r="206" spans="1:16" ht="15.6" x14ac:dyDescent="0.3">
      <c r="A206" s="81"/>
      <c r="B206" s="117" t="s">
        <v>79</v>
      </c>
      <c r="C206" s="53"/>
      <c r="D206" s="25"/>
      <c r="E206" s="25"/>
      <c r="F206" s="25"/>
      <c r="G206" s="25"/>
      <c r="H206" s="25"/>
      <c r="I206" s="25"/>
      <c r="J206" s="25"/>
      <c r="K206" s="25"/>
      <c r="L206" s="60" t="s">
        <v>107</v>
      </c>
      <c r="M206" s="25"/>
      <c r="N206" s="77"/>
      <c r="O206" s="83"/>
      <c r="P206" s="5"/>
    </row>
    <row r="207" spans="1:16" ht="15.6" x14ac:dyDescent="0.3">
      <c r="A207" s="84"/>
      <c r="B207" s="117" t="s">
        <v>80</v>
      </c>
      <c r="C207" s="74"/>
      <c r="D207" s="25"/>
      <c r="E207" s="25"/>
      <c r="F207" s="25"/>
      <c r="G207" s="25"/>
      <c r="H207" s="25"/>
      <c r="I207" s="25"/>
      <c r="J207" s="25"/>
      <c r="K207" s="25"/>
      <c r="L207" s="82"/>
      <c r="M207" s="25"/>
      <c r="N207" s="77"/>
      <c r="O207" s="85"/>
      <c r="P207" s="5"/>
    </row>
    <row r="208" spans="1:16" ht="15.6" x14ac:dyDescent="0.3">
      <c r="A208" s="84"/>
      <c r="B208" s="124" t="s">
        <v>81</v>
      </c>
      <c r="C208" s="74"/>
      <c r="D208" s="25"/>
      <c r="E208" s="25"/>
      <c r="F208" s="25"/>
      <c r="G208" s="25"/>
      <c r="H208" s="25"/>
      <c r="I208" s="25"/>
      <c r="J208" s="25"/>
      <c r="K208" s="30"/>
      <c r="L208" s="82">
        <f>N145</f>
        <v>0</v>
      </c>
      <c r="M208" s="25"/>
      <c r="N208" s="77"/>
      <c r="O208" s="85"/>
      <c r="P208" s="5"/>
    </row>
    <row r="209" spans="1:17" ht="15.6" x14ac:dyDescent="0.3">
      <c r="A209" s="81"/>
      <c r="B209" s="74" t="s">
        <v>82</v>
      </c>
      <c r="C209" s="53"/>
      <c r="D209" s="25"/>
      <c r="E209" s="25"/>
      <c r="F209" s="25"/>
      <c r="G209" s="25"/>
      <c r="H209" s="25"/>
      <c r="I209" s="25"/>
      <c r="J209" s="25"/>
      <c r="K209" s="30"/>
      <c r="L209" s="82">
        <f>+'Aug 07'!L208+L208</f>
        <v>26</v>
      </c>
      <c r="M209" s="25"/>
      <c r="N209" s="77"/>
      <c r="O209" s="85"/>
      <c r="P209" s="5"/>
    </row>
    <row r="210" spans="1:17" ht="15.6" x14ac:dyDescent="0.3">
      <c r="A210" s="84"/>
      <c r="B210" s="117" t="s">
        <v>253</v>
      </c>
      <c r="C210" s="74"/>
      <c r="D210" s="25"/>
      <c r="E210" s="25"/>
      <c r="F210" s="25"/>
      <c r="G210" s="25"/>
      <c r="H210" s="25"/>
      <c r="I210" s="25"/>
      <c r="J210" s="25"/>
      <c r="K210" s="30"/>
      <c r="L210" s="82"/>
      <c r="M210" s="25"/>
      <c r="N210" s="77"/>
      <c r="O210" s="85"/>
      <c r="P210" s="5"/>
    </row>
    <row r="211" spans="1:17" ht="15.6" x14ac:dyDescent="0.3">
      <c r="A211" s="84"/>
      <c r="B211" s="74" t="s">
        <v>250</v>
      </c>
      <c r="C211" s="74"/>
      <c r="D211" s="25"/>
      <c r="E211" s="25"/>
      <c r="F211" s="25"/>
      <c r="G211" s="25"/>
      <c r="H211" s="25"/>
      <c r="I211" s="25"/>
      <c r="J211" s="25"/>
      <c r="K211" s="30">
        <v>0</v>
      </c>
      <c r="L211" s="82">
        <v>0</v>
      </c>
      <c r="M211" s="25"/>
      <c r="N211" s="77"/>
      <c r="O211" s="85"/>
      <c r="P211" s="5"/>
    </row>
    <row r="212" spans="1:17" ht="15.6" x14ac:dyDescent="0.3">
      <c r="A212" s="81"/>
      <c r="B212" s="74" t="s">
        <v>83</v>
      </c>
      <c r="C212" s="86"/>
      <c r="D212" s="25"/>
      <c r="E212" s="25"/>
      <c r="F212" s="25"/>
      <c r="G212" s="25"/>
      <c r="H212" s="25"/>
      <c r="I212" s="25"/>
      <c r="J212" s="25"/>
      <c r="K212" s="25"/>
      <c r="L212" s="60">
        <v>0</v>
      </c>
      <c r="M212" s="25"/>
      <c r="N212" s="77"/>
      <c r="O212" s="85"/>
      <c r="P212" s="5"/>
    </row>
    <row r="213" spans="1:17" ht="15.6" x14ac:dyDescent="0.3">
      <c r="A213" s="81"/>
      <c r="B213" s="74" t="s">
        <v>84</v>
      </c>
      <c r="C213" s="86"/>
      <c r="D213" s="25"/>
      <c r="E213" s="25"/>
      <c r="F213" s="25"/>
      <c r="G213" s="25"/>
      <c r="H213" s="25"/>
      <c r="I213" s="25"/>
      <c r="J213" s="25"/>
      <c r="K213" s="25"/>
      <c r="L213" s="60">
        <v>0</v>
      </c>
      <c r="M213" s="25"/>
      <c r="N213" s="77"/>
      <c r="O213" s="85"/>
      <c r="P213" s="5"/>
    </row>
    <row r="214" spans="1:17" ht="15.6" x14ac:dyDescent="0.3">
      <c r="A214" s="81"/>
      <c r="B214" s="117" t="s">
        <v>177</v>
      </c>
      <c r="C214" s="86"/>
      <c r="D214" s="25"/>
      <c r="E214" s="25"/>
      <c r="F214" s="25"/>
      <c r="G214" s="25"/>
      <c r="H214" s="25"/>
      <c r="I214" s="25"/>
      <c r="J214" s="25"/>
      <c r="K214" s="25"/>
      <c r="L214" s="87"/>
      <c r="M214" s="25"/>
      <c r="N214" s="77"/>
      <c r="O214" s="85"/>
      <c r="P214" s="5"/>
    </row>
    <row r="215" spans="1:17" ht="15.6" x14ac:dyDescent="0.3">
      <c r="A215" s="81"/>
      <c r="B215" s="74" t="s">
        <v>250</v>
      </c>
      <c r="C215" s="86"/>
      <c r="D215" s="25"/>
      <c r="E215" s="25"/>
      <c r="F215" s="25"/>
      <c r="G215" s="25"/>
      <c r="H215" s="25"/>
      <c r="I215" s="25"/>
      <c r="J215" s="25"/>
      <c r="K215" s="30">
        <v>0</v>
      </c>
      <c r="L215" s="82">
        <v>0</v>
      </c>
      <c r="M215" s="25"/>
      <c r="N215" s="77"/>
      <c r="O215" s="85"/>
      <c r="P215" s="5"/>
    </row>
    <row r="216" spans="1:17" ht="15.6" x14ac:dyDescent="0.3">
      <c r="A216" s="81"/>
      <c r="B216" s="74" t="s">
        <v>178</v>
      </c>
      <c r="C216" s="86"/>
      <c r="D216" s="25"/>
      <c r="E216" s="25"/>
      <c r="F216" s="25"/>
      <c r="G216" s="25"/>
      <c r="H216" s="25"/>
      <c r="I216" s="25"/>
      <c r="J216" s="25"/>
      <c r="K216" s="25"/>
      <c r="L216" s="60">
        <v>0</v>
      </c>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5.6" x14ac:dyDescent="0.3">
      <c r="A218" s="81"/>
      <c r="B218" s="74"/>
      <c r="C218" s="86"/>
      <c r="D218" s="25"/>
      <c r="E218" s="25"/>
      <c r="F218" s="25"/>
      <c r="G218" s="25"/>
      <c r="H218" s="25"/>
      <c r="I218" s="25"/>
      <c r="J218" s="25"/>
      <c r="K218" s="25"/>
      <c r="L218" s="87"/>
      <c r="M218" s="25"/>
      <c r="N218" s="77"/>
      <c r="O218" s="85"/>
      <c r="P218" s="5"/>
    </row>
    <row r="219" spans="1:17" ht="17.399999999999999" x14ac:dyDescent="0.3">
      <c r="A219" s="81"/>
      <c r="B219" s="140" t="s">
        <v>238</v>
      </c>
      <c r="C219" s="86"/>
      <c r="D219" s="25"/>
      <c r="E219" s="25"/>
      <c r="F219" s="25"/>
      <c r="G219" s="25"/>
      <c r="H219" s="180" t="s">
        <v>237</v>
      </c>
      <c r="I219" s="25"/>
      <c r="J219" s="25"/>
      <c r="K219" s="25"/>
      <c r="L219" s="87"/>
      <c r="M219" s="25"/>
      <c r="N219" s="77"/>
      <c r="O219" s="85"/>
      <c r="P219" s="5"/>
    </row>
    <row r="220" spans="1:17" ht="15.6" x14ac:dyDescent="0.3">
      <c r="A220" s="81"/>
      <c r="B220" s="74"/>
      <c r="C220" s="86"/>
      <c r="D220" s="25"/>
      <c r="E220" s="25"/>
      <c r="F220" s="25"/>
      <c r="G220" s="25"/>
      <c r="H220" s="25"/>
      <c r="I220" s="25"/>
      <c r="J220" s="25"/>
      <c r="K220" s="25"/>
      <c r="L220" s="87"/>
      <c r="M220" s="25"/>
      <c r="N220" s="77"/>
      <c r="O220" s="85"/>
      <c r="P220" s="5"/>
    </row>
    <row r="221" spans="1:17" ht="15.6" x14ac:dyDescent="0.3">
      <c r="A221" s="6"/>
      <c r="B221" s="14" t="s">
        <v>149</v>
      </c>
      <c r="C221" s="79"/>
      <c r="D221" s="17"/>
      <c r="E221" s="17"/>
      <c r="F221" s="17"/>
      <c r="G221" s="17"/>
      <c r="H221" s="17"/>
      <c r="I221" s="17"/>
      <c r="J221" s="80" t="s">
        <v>99</v>
      </c>
      <c r="K221" s="17" t="s">
        <v>100</v>
      </c>
      <c r="L221" s="80" t="s">
        <v>108</v>
      </c>
      <c r="M221" s="17" t="s">
        <v>100</v>
      </c>
      <c r="N221" s="8"/>
      <c r="O221" s="88"/>
      <c r="P221" s="5"/>
    </row>
    <row r="222" spans="1:17" ht="15.6" x14ac:dyDescent="0.3">
      <c r="A222" s="24"/>
      <c r="B222" s="53" t="s">
        <v>85</v>
      </c>
      <c r="C222" s="89"/>
      <c r="D222" s="89"/>
      <c r="E222" s="89"/>
      <c r="F222" s="89"/>
      <c r="G222" s="89"/>
      <c r="H222" s="89"/>
      <c r="I222" s="89"/>
      <c r="J222" s="53">
        <v>4151</v>
      </c>
      <c r="K222" s="90">
        <f t="shared" ref="K222:K234" si="1">J222/$J$236</f>
        <v>0.92822003577817536</v>
      </c>
      <c r="L222" s="52">
        <v>177307</v>
      </c>
      <c r="M222" s="125">
        <f t="shared" ref="M222:M234" si="2">L222/$L$236</f>
        <v>0.90083576781404806</v>
      </c>
      <c r="N222" s="77"/>
      <c r="O222" s="85"/>
      <c r="P222" s="5"/>
    </row>
    <row r="223" spans="1:17" ht="15.6" x14ac:dyDescent="0.3">
      <c r="A223" s="24"/>
      <c r="B223" s="53" t="s">
        <v>86</v>
      </c>
      <c r="C223" s="89"/>
      <c r="D223" s="89"/>
      <c r="E223" s="89"/>
      <c r="F223" s="89"/>
      <c r="G223" s="89"/>
      <c r="H223" s="89"/>
      <c r="I223" s="89"/>
      <c r="J223" s="53">
        <v>147</v>
      </c>
      <c r="K223" s="90">
        <f t="shared" si="1"/>
        <v>3.2871198568872988E-2</v>
      </c>
      <c r="L223" s="52">
        <v>7730</v>
      </c>
      <c r="M223" s="125">
        <f t="shared" si="2"/>
        <v>3.9273466277149754E-2</v>
      </c>
      <c r="N223" s="77"/>
      <c r="O223" s="85"/>
      <c r="P223" s="5"/>
      <c r="Q223" s="104"/>
    </row>
    <row r="224" spans="1:17" ht="15.6" x14ac:dyDescent="0.3">
      <c r="A224" s="24"/>
      <c r="B224" s="53" t="s">
        <v>87</v>
      </c>
      <c r="C224" s="89"/>
      <c r="D224" s="89"/>
      <c r="E224" s="89"/>
      <c r="F224" s="89"/>
      <c r="G224" s="89"/>
      <c r="H224" s="89"/>
      <c r="I224" s="89"/>
      <c r="J224" s="53">
        <v>56</v>
      </c>
      <c r="K224" s="90">
        <f t="shared" si="1"/>
        <v>1.2522361359570662E-2</v>
      </c>
      <c r="L224" s="52">
        <v>2995</v>
      </c>
      <c r="M224" s="125">
        <f t="shared" si="2"/>
        <v>1.5216562936618824E-2</v>
      </c>
      <c r="N224" s="77"/>
      <c r="O224" s="85"/>
      <c r="P224" s="5"/>
    </row>
    <row r="225" spans="1:17" ht="15.6" x14ac:dyDescent="0.3">
      <c r="A225" s="24"/>
      <c r="B225" s="53" t="s">
        <v>145</v>
      </c>
      <c r="C225" s="89"/>
      <c r="D225" s="89"/>
      <c r="E225" s="89"/>
      <c r="F225" s="89"/>
      <c r="G225" s="89"/>
      <c r="H225" s="89"/>
      <c r="I225" s="89"/>
      <c r="J225" s="53">
        <v>30</v>
      </c>
      <c r="K225" s="90">
        <f t="shared" si="1"/>
        <v>6.7084078711985686E-3</v>
      </c>
      <c r="L225" s="52">
        <v>1982</v>
      </c>
      <c r="M225" s="125">
        <f t="shared" si="2"/>
        <v>1.0069859011812524E-2</v>
      </c>
      <c r="N225" s="77"/>
      <c r="O225" s="85"/>
      <c r="P225" s="5"/>
      <c r="Q225" s="104"/>
    </row>
    <row r="226" spans="1:17" ht="15.6" x14ac:dyDescent="0.3">
      <c r="A226" s="24"/>
      <c r="B226" s="53" t="s">
        <v>146</v>
      </c>
      <c r="C226" s="89"/>
      <c r="D226" s="89"/>
      <c r="E226" s="89"/>
      <c r="F226" s="89"/>
      <c r="G226" s="89"/>
      <c r="H226" s="89"/>
      <c r="I226" s="89"/>
      <c r="J226" s="53">
        <v>17</v>
      </c>
      <c r="K226" s="90">
        <f t="shared" si="1"/>
        <v>3.8014311270125225E-3</v>
      </c>
      <c r="L226" s="52">
        <v>873</v>
      </c>
      <c r="M226" s="125">
        <f t="shared" si="2"/>
        <v>4.435412168169694E-3</v>
      </c>
      <c r="N226" s="77"/>
      <c r="O226" s="85"/>
      <c r="P226" s="5"/>
    </row>
    <row r="227" spans="1:17" ht="15.6" x14ac:dyDescent="0.3">
      <c r="A227" s="24"/>
      <c r="B227" s="53" t="s">
        <v>147</v>
      </c>
      <c r="C227" s="89"/>
      <c r="D227" s="89"/>
      <c r="E227" s="89"/>
      <c r="F227" s="89"/>
      <c r="G227" s="89"/>
      <c r="H227" s="89"/>
      <c r="I227" s="89"/>
      <c r="J227" s="53">
        <v>13</v>
      </c>
      <c r="K227" s="90">
        <f t="shared" si="1"/>
        <v>2.9069767441860465E-3</v>
      </c>
      <c r="L227" s="52">
        <v>550</v>
      </c>
      <c r="M227" s="125">
        <f t="shared" si="2"/>
        <v>2.7943604725009525E-3</v>
      </c>
      <c r="N227" s="77"/>
      <c r="O227" s="85"/>
      <c r="P227" s="5"/>
      <c r="Q227" s="104"/>
    </row>
    <row r="228" spans="1:17" ht="15.6" x14ac:dyDescent="0.3">
      <c r="A228" s="24"/>
      <c r="B228" s="53" t="s">
        <v>227</v>
      </c>
      <c r="C228" s="89"/>
      <c r="D228" s="89"/>
      <c r="E228" s="89"/>
      <c r="F228" s="89"/>
      <c r="G228" s="89"/>
      <c r="H228" s="89"/>
      <c r="I228" s="89"/>
      <c r="J228" s="53">
        <v>29</v>
      </c>
      <c r="K228" s="90">
        <f t="shared" si="1"/>
        <v>6.4847942754919499E-3</v>
      </c>
      <c r="L228" s="52">
        <v>2043</v>
      </c>
      <c r="M228" s="125">
        <f t="shared" si="2"/>
        <v>1.0379778991489902E-2</v>
      </c>
      <c r="N228" s="77"/>
      <c r="O228" s="85"/>
      <c r="P228" s="5"/>
    </row>
    <row r="229" spans="1:17" ht="15.6" x14ac:dyDescent="0.3">
      <c r="A229" s="24"/>
      <c r="B229" s="53" t="s">
        <v>228</v>
      </c>
      <c r="C229" s="89"/>
      <c r="D229" s="89"/>
      <c r="E229" s="89"/>
      <c r="F229" s="89"/>
      <c r="G229" s="89"/>
      <c r="H229" s="89"/>
      <c r="I229" s="89"/>
      <c r="J229" s="53">
        <v>9</v>
      </c>
      <c r="K229" s="90">
        <f t="shared" si="1"/>
        <v>2.0125223613595708E-3</v>
      </c>
      <c r="L229" s="52">
        <v>900</v>
      </c>
      <c r="M229" s="125">
        <f t="shared" si="2"/>
        <v>4.5725898640924679E-3</v>
      </c>
      <c r="N229" s="77"/>
      <c r="O229" s="85"/>
      <c r="P229" s="5"/>
      <c r="Q229" s="104"/>
    </row>
    <row r="230" spans="1:17" ht="15.6" x14ac:dyDescent="0.3">
      <c r="A230" s="24"/>
      <c r="B230" s="53" t="s">
        <v>229</v>
      </c>
      <c r="C230" s="89"/>
      <c r="D230" s="89"/>
      <c r="E230" s="89"/>
      <c r="F230" s="89"/>
      <c r="G230" s="89"/>
      <c r="H230" s="89"/>
      <c r="I230" s="89"/>
      <c r="J230" s="53">
        <v>8</v>
      </c>
      <c r="K230" s="90">
        <f t="shared" si="1"/>
        <v>1.7889087656529517E-3</v>
      </c>
      <c r="L230" s="52">
        <v>1541</v>
      </c>
      <c r="M230" s="125">
        <f t="shared" si="2"/>
        <v>7.8292899784072143E-3</v>
      </c>
      <c r="N230" s="77"/>
      <c r="O230" s="85"/>
      <c r="P230" s="5"/>
      <c r="Q230" s="104"/>
    </row>
    <row r="231" spans="1:17" ht="15.6" x14ac:dyDescent="0.3">
      <c r="A231" s="24"/>
      <c r="B231" s="53" t="s">
        <v>230</v>
      </c>
      <c r="C231" s="89"/>
      <c r="D231" s="89"/>
      <c r="E231" s="89"/>
      <c r="F231" s="89"/>
      <c r="G231" s="89"/>
      <c r="H231" s="89"/>
      <c r="I231" s="89"/>
      <c r="J231" s="53">
        <v>4</v>
      </c>
      <c r="K231" s="90">
        <f t="shared" si="1"/>
        <v>8.9445438282647585E-4</v>
      </c>
      <c r="L231" s="52">
        <v>327</v>
      </c>
      <c r="M231" s="125">
        <f t="shared" si="2"/>
        <v>1.66137431728693E-3</v>
      </c>
      <c r="N231" s="77"/>
      <c r="O231" s="85"/>
      <c r="P231" s="5"/>
      <c r="Q231" s="104"/>
    </row>
    <row r="232" spans="1:17" ht="15.6" x14ac:dyDescent="0.3">
      <c r="A232" s="24"/>
      <c r="B232" s="53" t="s">
        <v>231</v>
      </c>
      <c r="C232" s="89"/>
      <c r="D232" s="89"/>
      <c r="E232" s="89"/>
      <c r="F232" s="89"/>
      <c r="G232" s="89"/>
      <c r="H232" s="89"/>
      <c r="I232" s="89"/>
      <c r="J232" s="53">
        <v>5</v>
      </c>
      <c r="K232" s="90">
        <f t="shared" si="1"/>
        <v>1.1180679785330948E-3</v>
      </c>
      <c r="L232" s="52">
        <v>350</v>
      </c>
      <c r="M232" s="125">
        <f t="shared" si="2"/>
        <v>1.7782293915915154E-3</v>
      </c>
      <c r="N232" s="77"/>
      <c r="O232" s="85"/>
      <c r="P232" s="5"/>
      <c r="Q232" s="104"/>
    </row>
    <row r="233" spans="1:17" ht="15.6" x14ac:dyDescent="0.3">
      <c r="A233" s="24"/>
      <c r="B233" s="53" t="s">
        <v>232</v>
      </c>
      <c r="C233" s="89"/>
      <c r="D233" s="89"/>
      <c r="E233" s="89"/>
      <c r="F233" s="89"/>
      <c r="G233" s="89"/>
      <c r="H233" s="89"/>
      <c r="I233" s="89"/>
      <c r="J233" s="53">
        <v>2</v>
      </c>
      <c r="K233" s="90">
        <f t="shared" si="1"/>
        <v>4.4722719141323793E-4</v>
      </c>
      <c r="L233" s="52">
        <v>227</v>
      </c>
      <c r="M233" s="125">
        <f t="shared" si="2"/>
        <v>1.1533087768322114E-3</v>
      </c>
      <c r="N233" s="77"/>
      <c r="O233" s="85"/>
      <c r="P233" s="5"/>
      <c r="Q233" s="104"/>
    </row>
    <row r="234" spans="1:17" ht="15.6" x14ac:dyDescent="0.3">
      <c r="A234" s="24"/>
      <c r="B234" s="53" t="s">
        <v>233</v>
      </c>
      <c r="C234" s="89"/>
      <c r="D234" s="89"/>
      <c r="E234" s="89"/>
      <c r="F234" s="89"/>
      <c r="G234" s="89"/>
      <c r="H234" s="89"/>
      <c r="I234" s="89"/>
      <c r="J234" s="53">
        <v>1</v>
      </c>
      <c r="K234" s="90">
        <f t="shared" si="1"/>
        <v>2.2361359570661896E-4</v>
      </c>
      <c r="L234" s="52">
        <v>0</v>
      </c>
      <c r="M234" s="125">
        <f t="shared" si="2"/>
        <v>0</v>
      </c>
      <c r="N234" s="77"/>
      <c r="O234" s="85"/>
      <c r="P234" s="5"/>
      <c r="Q234" s="104"/>
    </row>
    <row r="235" spans="1:17" ht="15.6" x14ac:dyDescent="0.3">
      <c r="A235" s="24"/>
      <c r="B235" s="53"/>
      <c r="C235" s="89"/>
      <c r="D235" s="89"/>
      <c r="E235" s="89"/>
      <c r="F235" s="89"/>
      <c r="G235" s="89"/>
      <c r="H235" s="89"/>
      <c r="I235" s="89"/>
      <c r="J235" s="53"/>
      <c r="K235" s="90"/>
      <c r="L235" s="52"/>
      <c r="M235" s="125"/>
      <c r="N235" s="77"/>
      <c r="O235" s="85"/>
      <c r="P235" s="5"/>
      <c r="Q235" s="104"/>
    </row>
    <row r="236" spans="1:17" ht="15.6" x14ac:dyDescent="0.3">
      <c r="A236" s="24"/>
      <c r="B236" s="25"/>
      <c r="C236" s="25"/>
      <c r="D236" s="91"/>
      <c r="E236" s="91"/>
      <c r="F236" s="91"/>
      <c r="G236" s="91"/>
      <c r="H236" s="91"/>
      <c r="I236" s="91"/>
      <c r="J236" s="34">
        <f>SUM(J222:J235)</f>
        <v>4472</v>
      </c>
      <c r="K236" s="125">
        <f>SUM(K222:K235)</f>
        <v>1</v>
      </c>
      <c r="L236" s="52">
        <f>SUM(L222:L235)</f>
        <v>196825</v>
      </c>
      <c r="M236" s="125">
        <f>SUM(M222:M235)</f>
        <v>1.0000000000000002</v>
      </c>
      <c r="N236" s="25"/>
      <c r="O236" s="25"/>
      <c r="P236" s="5"/>
    </row>
    <row r="237" spans="1:17" ht="15.6" x14ac:dyDescent="0.3">
      <c r="A237" s="24"/>
      <c r="B237" s="25"/>
      <c r="C237" s="25"/>
      <c r="D237" s="91"/>
      <c r="E237" s="91"/>
      <c r="F237" s="91"/>
      <c r="G237" s="91"/>
      <c r="H237" s="91"/>
      <c r="I237" s="91"/>
      <c r="J237" s="34"/>
      <c r="K237" s="125"/>
      <c r="L237" s="52"/>
      <c r="M237" s="125"/>
      <c r="N237" s="25"/>
      <c r="O237" s="25"/>
      <c r="P237" s="5"/>
    </row>
    <row r="238" spans="1:17" ht="15.6" x14ac:dyDescent="0.3">
      <c r="A238" s="133"/>
      <c r="B238" s="14" t="s">
        <v>204</v>
      </c>
      <c r="C238" s="79"/>
      <c r="D238" s="17"/>
      <c r="E238" s="17"/>
      <c r="F238" s="17"/>
      <c r="G238" s="17"/>
      <c r="H238" s="17"/>
      <c r="I238" s="17"/>
      <c r="J238" s="80" t="s">
        <v>99</v>
      </c>
      <c r="K238" s="17" t="s">
        <v>100</v>
      </c>
      <c r="L238" s="80" t="s">
        <v>108</v>
      </c>
      <c r="M238" s="17" t="s">
        <v>100</v>
      </c>
      <c r="N238" s="131"/>
      <c r="O238" s="132"/>
      <c r="P238" s="5"/>
    </row>
    <row r="239" spans="1:17" ht="15.6" x14ac:dyDescent="0.3">
      <c r="A239" s="24"/>
      <c r="B239" s="53" t="s">
        <v>85</v>
      </c>
      <c r="C239" s="89"/>
      <c r="D239" s="89"/>
      <c r="E239" s="89"/>
      <c r="F239" s="89"/>
      <c r="G239" s="89"/>
      <c r="H239" s="89"/>
      <c r="I239" s="89"/>
      <c r="J239" s="53">
        <v>0</v>
      </c>
      <c r="K239" s="90">
        <v>0</v>
      </c>
      <c r="L239" s="52">
        <v>0</v>
      </c>
      <c r="M239" s="125">
        <v>0</v>
      </c>
      <c r="N239" s="25"/>
      <c r="O239" s="25"/>
      <c r="P239" s="5"/>
    </row>
    <row r="240" spans="1:17" ht="15.6" x14ac:dyDescent="0.3">
      <c r="A240" s="24"/>
      <c r="B240" s="53" t="s">
        <v>86</v>
      </c>
      <c r="C240" s="89"/>
      <c r="D240" s="89"/>
      <c r="E240" s="89"/>
      <c r="F240" s="89"/>
      <c r="G240" s="89"/>
      <c r="H240" s="89"/>
      <c r="I240" s="89"/>
      <c r="J240" s="53">
        <v>0</v>
      </c>
      <c r="K240" s="90">
        <v>0</v>
      </c>
      <c r="L240" s="52">
        <v>0</v>
      </c>
      <c r="M240" s="125">
        <v>0</v>
      </c>
      <c r="N240" s="25"/>
      <c r="O240" s="25"/>
      <c r="P240" s="5"/>
    </row>
    <row r="241" spans="1:16" ht="15.6" x14ac:dyDescent="0.3">
      <c r="A241" s="24"/>
      <c r="B241" s="53" t="s">
        <v>87</v>
      </c>
      <c r="C241" s="89"/>
      <c r="D241" s="89"/>
      <c r="E241" s="89"/>
      <c r="F241" s="89"/>
      <c r="G241" s="89"/>
      <c r="H241" s="89"/>
      <c r="I241" s="89"/>
      <c r="J241" s="53">
        <v>0</v>
      </c>
      <c r="K241" s="90">
        <v>0</v>
      </c>
      <c r="L241" s="52">
        <v>0</v>
      </c>
      <c r="M241" s="125">
        <v>0</v>
      </c>
      <c r="N241" s="25"/>
      <c r="O241" s="25"/>
      <c r="P241" s="5"/>
    </row>
    <row r="242" spans="1:16" ht="15.6" x14ac:dyDescent="0.3">
      <c r="A242" s="24"/>
      <c r="B242" s="53" t="s">
        <v>145</v>
      </c>
      <c r="C242" s="89"/>
      <c r="D242" s="89"/>
      <c r="E242" s="89"/>
      <c r="F242" s="89"/>
      <c r="G242" s="89"/>
      <c r="H242" s="89"/>
      <c r="I242" s="89"/>
      <c r="J242" s="53">
        <v>0</v>
      </c>
      <c r="K242" s="90">
        <v>0</v>
      </c>
      <c r="L242" s="52">
        <v>0</v>
      </c>
      <c r="M242" s="125">
        <v>0</v>
      </c>
      <c r="N242" s="25"/>
      <c r="O242" s="25"/>
      <c r="P242" s="5"/>
    </row>
    <row r="243" spans="1:16" ht="15.6" x14ac:dyDescent="0.3">
      <c r="A243" s="24"/>
      <c r="B243" s="53" t="s">
        <v>146</v>
      </c>
      <c r="C243" s="89"/>
      <c r="D243" s="89"/>
      <c r="E243" s="89"/>
      <c r="F243" s="89"/>
      <c r="G243" s="89"/>
      <c r="H243" s="89"/>
      <c r="I243" s="89"/>
      <c r="J243" s="53">
        <v>0</v>
      </c>
      <c r="K243" s="90">
        <v>0</v>
      </c>
      <c r="L243" s="52">
        <v>0</v>
      </c>
      <c r="M243" s="125">
        <v>0</v>
      </c>
      <c r="N243" s="25"/>
      <c r="O243" s="25"/>
      <c r="P243" s="5"/>
    </row>
    <row r="244" spans="1:16" ht="15.6" x14ac:dyDescent="0.3">
      <c r="A244" s="24"/>
      <c r="B244" s="53" t="s">
        <v>147</v>
      </c>
      <c r="C244" s="89"/>
      <c r="D244" s="89"/>
      <c r="E244" s="89"/>
      <c r="F244" s="89"/>
      <c r="G244" s="89"/>
      <c r="H244" s="89"/>
      <c r="I244" s="89"/>
      <c r="J244" s="53">
        <v>0</v>
      </c>
      <c r="K244" s="90">
        <v>0</v>
      </c>
      <c r="L244" s="52">
        <v>0</v>
      </c>
      <c r="M244" s="125">
        <v>0</v>
      </c>
      <c r="N244" s="25"/>
      <c r="O244" s="25"/>
      <c r="P244" s="5"/>
    </row>
    <row r="245" spans="1:16" ht="15.6" x14ac:dyDescent="0.3">
      <c r="A245" s="24"/>
      <c r="B245" s="53" t="s">
        <v>227</v>
      </c>
      <c r="C245" s="89"/>
      <c r="D245" s="89"/>
      <c r="E245" s="89"/>
      <c r="F245" s="89"/>
      <c r="G245" s="89"/>
      <c r="H245" s="89"/>
      <c r="I245" s="89"/>
      <c r="J245" s="53">
        <v>0</v>
      </c>
      <c r="K245" s="90">
        <v>0</v>
      </c>
      <c r="L245" s="52">
        <v>0</v>
      </c>
      <c r="M245" s="125">
        <v>0</v>
      </c>
      <c r="N245" s="25"/>
      <c r="O245" s="25"/>
      <c r="P245" s="5"/>
    </row>
    <row r="246" spans="1:16" ht="15.6" x14ac:dyDescent="0.3">
      <c r="A246" s="24"/>
      <c r="B246" s="53" t="s">
        <v>228</v>
      </c>
      <c r="C246" s="89"/>
      <c r="D246" s="89"/>
      <c r="E246" s="89"/>
      <c r="F246" s="89"/>
      <c r="G246" s="89"/>
      <c r="H246" s="89"/>
      <c r="I246" s="89"/>
      <c r="J246" s="53">
        <v>0</v>
      </c>
      <c r="K246" s="90">
        <v>0</v>
      </c>
      <c r="L246" s="52">
        <v>0</v>
      </c>
      <c r="M246" s="125">
        <v>0</v>
      </c>
      <c r="N246" s="25"/>
      <c r="O246" s="25"/>
      <c r="P246" s="5"/>
    </row>
    <row r="247" spans="1:16" ht="15.6" x14ac:dyDescent="0.3">
      <c r="A247" s="24"/>
      <c r="B247" s="53" t="s">
        <v>229</v>
      </c>
      <c r="C247" s="89"/>
      <c r="D247" s="89"/>
      <c r="E247" s="89"/>
      <c r="F247" s="89"/>
      <c r="G247" s="89"/>
      <c r="H247" s="89"/>
      <c r="I247" s="89"/>
      <c r="J247" s="53">
        <v>0</v>
      </c>
      <c r="K247" s="90">
        <v>0</v>
      </c>
      <c r="L247" s="52">
        <v>0</v>
      </c>
      <c r="M247" s="125">
        <v>0</v>
      </c>
      <c r="N247" s="25"/>
      <c r="O247" s="25"/>
      <c r="P247" s="5"/>
    </row>
    <row r="248" spans="1:16" ht="15.6" x14ac:dyDescent="0.3">
      <c r="A248" s="24"/>
      <c r="B248" s="53" t="s">
        <v>230</v>
      </c>
      <c r="C248" s="89"/>
      <c r="D248" s="89"/>
      <c r="E248" s="89"/>
      <c r="F248" s="89"/>
      <c r="G248" s="89"/>
      <c r="H248" s="89"/>
      <c r="I248" s="89"/>
      <c r="J248" s="53">
        <v>0</v>
      </c>
      <c r="K248" s="90">
        <v>0</v>
      </c>
      <c r="L248" s="52">
        <v>0</v>
      </c>
      <c r="M248" s="125">
        <v>0</v>
      </c>
      <c r="N248" s="25"/>
      <c r="O248" s="25"/>
      <c r="P248" s="5"/>
    </row>
    <row r="249" spans="1:16" ht="15.6" x14ac:dyDescent="0.3">
      <c r="A249" s="24"/>
      <c r="B249" s="53" t="s">
        <v>231</v>
      </c>
      <c r="C249" s="89"/>
      <c r="D249" s="89"/>
      <c r="E249" s="89"/>
      <c r="F249" s="89"/>
      <c r="G249" s="89"/>
      <c r="H249" s="89"/>
      <c r="I249" s="89"/>
      <c r="J249" s="53">
        <v>0</v>
      </c>
      <c r="K249" s="90">
        <v>0</v>
      </c>
      <c r="L249" s="52">
        <v>0</v>
      </c>
      <c r="M249" s="125">
        <v>0</v>
      </c>
      <c r="N249" s="25"/>
      <c r="O249" s="25"/>
      <c r="P249" s="5"/>
    </row>
    <row r="250" spans="1:16" ht="15.6" x14ac:dyDescent="0.3">
      <c r="A250" s="24"/>
      <c r="B250" s="53" t="s">
        <v>232</v>
      </c>
      <c r="C250" s="89"/>
      <c r="D250" s="89"/>
      <c r="E250" s="89"/>
      <c r="F250" s="89"/>
      <c r="G250" s="89"/>
      <c r="H250" s="89"/>
      <c r="I250" s="89"/>
      <c r="J250" s="53">
        <v>0</v>
      </c>
      <c r="K250" s="90">
        <v>0</v>
      </c>
      <c r="L250" s="52">
        <v>0</v>
      </c>
      <c r="M250" s="125">
        <v>0</v>
      </c>
      <c r="N250" s="25"/>
      <c r="O250" s="25"/>
      <c r="P250" s="5"/>
    </row>
    <row r="251" spans="1:16" ht="15.6" x14ac:dyDescent="0.3">
      <c r="A251" s="24"/>
      <c r="B251" s="53" t="s">
        <v>233</v>
      </c>
      <c r="C251" s="89"/>
      <c r="D251" s="89"/>
      <c r="E251" s="89"/>
      <c r="F251" s="89"/>
      <c r="G251" s="89"/>
      <c r="H251" s="89"/>
      <c r="I251" s="89"/>
      <c r="J251" s="53">
        <v>0</v>
      </c>
      <c r="K251" s="90">
        <v>0</v>
      </c>
      <c r="L251" s="52">
        <v>0</v>
      </c>
      <c r="M251" s="125">
        <v>0</v>
      </c>
      <c r="N251" s="25"/>
      <c r="O251" s="25"/>
      <c r="P251" s="5"/>
    </row>
    <row r="252" spans="1:16" ht="15.6" x14ac:dyDescent="0.3">
      <c r="A252" s="24"/>
      <c r="B252" s="53"/>
      <c r="C252" s="89"/>
      <c r="D252" s="89"/>
      <c r="E252" s="89"/>
      <c r="F252" s="89"/>
      <c r="G252" s="89"/>
      <c r="H252" s="89"/>
      <c r="I252" s="89"/>
      <c r="J252" s="53"/>
      <c r="K252" s="90"/>
      <c r="L252" s="52"/>
      <c r="M252" s="125"/>
      <c r="N252" s="25"/>
      <c r="O252" s="25"/>
      <c r="P252" s="5"/>
    </row>
    <row r="253" spans="1:16" ht="15.6" x14ac:dyDescent="0.3">
      <c r="A253" s="24"/>
      <c r="B253" s="25"/>
      <c r="C253" s="25"/>
      <c r="D253" s="91"/>
      <c r="E253" s="91"/>
      <c r="F253" s="91"/>
      <c r="G253" s="91"/>
      <c r="H253" s="91"/>
      <c r="I253" s="91"/>
      <c r="J253" s="34">
        <f>SUM(J239:J252)</f>
        <v>0</v>
      </c>
      <c r="K253" s="125">
        <f>SUM(K239:K252)</f>
        <v>0</v>
      </c>
      <c r="L253" s="52">
        <f>SUM(L239:L252)</f>
        <v>0</v>
      </c>
      <c r="M253" s="125">
        <f>SUM(M239:M252)</f>
        <v>0</v>
      </c>
      <c r="N253" s="25"/>
      <c r="O253" s="25"/>
      <c r="P253" s="5"/>
    </row>
    <row r="254" spans="1:16" ht="15.6" x14ac:dyDescent="0.3">
      <c r="A254" s="24"/>
      <c r="B254" s="25"/>
      <c r="C254" s="25"/>
      <c r="D254" s="91"/>
      <c r="E254" s="91"/>
      <c r="F254" s="91"/>
      <c r="G254" s="91"/>
      <c r="H254" s="91"/>
      <c r="I254" s="91"/>
      <c r="J254" s="34"/>
      <c r="K254" s="125"/>
      <c r="L254" s="52"/>
      <c r="M254" s="125"/>
      <c r="N254" s="25"/>
      <c r="O254" s="25"/>
      <c r="P254" s="5"/>
    </row>
    <row r="255" spans="1:16" ht="15.6" x14ac:dyDescent="0.3">
      <c r="A255" s="133"/>
      <c r="B255" s="14" t="s">
        <v>150</v>
      </c>
      <c r="C255" s="131"/>
      <c r="D255" s="137"/>
      <c r="E255" s="137"/>
      <c r="F255" s="137"/>
      <c r="G255" s="137"/>
      <c r="H255" s="137"/>
      <c r="I255" s="137"/>
      <c r="J255" s="80" t="s">
        <v>99</v>
      </c>
      <c r="K255" s="17" t="s">
        <v>100</v>
      </c>
      <c r="L255" s="80" t="s">
        <v>108</v>
      </c>
      <c r="M255" s="17" t="s">
        <v>100</v>
      </c>
      <c r="N255" s="131"/>
      <c r="O255" s="132"/>
      <c r="P255" s="5"/>
    </row>
    <row r="256" spans="1:16" ht="15.6" x14ac:dyDescent="0.3">
      <c r="A256" s="24"/>
      <c r="B256" s="53" t="s">
        <v>85</v>
      </c>
      <c r="C256" s="25"/>
      <c r="D256" s="91"/>
      <c r="E256" s="91"/>
      <c r="F256" s="91"/>
      <c r="G256" s="91"/>
      <c r="H256" s="91"/>
      <c r="I256" s="91"/>
      <c r="J256" s="53">
        <v>0</v>
      </c>
      <c r="K256" s="90">
        <f t="shared" ref="K256:K267" si="3">J256/$J$270</f>
        <v>0</v>
      </c>
      <c r="L256" s="52">
        <v>0</v>
      </c>
      <c r="M256" s="125">
        <f t="shared" ref="M256:M268" si="4">L256/$L$270</f>
        <v>0</v>
      </c>
      <c r="N256" s="25"/>
      <c r="O256" s="25"/>
      <c r="P256" s="5"/>
    </row>
    <row r="257" spans="1:16" ht="15.6" x14ac:dyDescent="0.3">
      <c r="A257" s="24"/>
      <c r="B257" s="53" t="s">
        <v>86</v>
      </c>
      <c r="C257" s="25"/>
      <c r="D257" s="91"/>
      <c r="E257" s="91"/>
      <c r="F257" s="91"/>
      <c r="G257" s="91"/>
      <c r="H257" s="91"/>
      <c r="I257" s="91"/>
      <c r="J257" s="53">
        <v>0</v>
      </c>
      <c r="K257" s="90">
        <f t="shared" si="3"/>
        <v>0</v>
      </c>
      <c r="L257" s="52">
        <v>0</v>
      </c>
      <c r="M257" s="125">
        <f t="shared" si="4"/>
        <v>0</v>
      </c>
      <c r="N257" s="25"/>
      <c r="O257" s="25"/>
      <c r="P257" s="5"/>
    </row>
    <row r="258" spans="1:16" ht="15.6" x14ac:dyDescent="0.3">
      <c r="A258" s="24"/>
      <c r="B258" s="53" t="s">
        <v>87</v>
      </c>
      <c r="C258" s="25"/>
      <c r="D258" s="91"/>
      <c r="E258" s="91"/>
      <c r="F258" s="91"/>
      <c r="G258" s="91"/>
      <c r="H258" s="91"/>
      <c r="I258" s="91"/>
      <c r="J258" s="53">
        <v>0</v>
      </c>
      <c r="K258" s="90">
        <f t="shared" si="3"/>
        <v>0</v>
      </c>
      <c r="L258" s="52">
        <v>0</v>
      </c>
      <c r="M258" s="125">
        <f t="shared" si="4"/>
        <v>0</v>
      </c>
      <c r="N258" s="25"/>
      <c r="O258" s="25"/>
      <c r="P258" s="5"/>
    </row>
    <row r="259" spans="1:16" ht="15.6" x14ac:dyDescent="0.3">
      <c r="A259" s="24"/>
      <c r="B259" s="53" t="s">
        <v>145</v>
      </c>
      <c r="C259" s="25"/>
      <c r="D259" s="91"/>
      <c r="E259" s="91"/>
      <c r="F259" s="91"/>
      <c r="G259" s="91"/>
      <c r="H259" s="91"/>
      <c r="I259" s="91"/>
      <c r="J259" s="53">
        <v>0</v>
      </c>
      <c r="K259" s="90">
        <f t="shared" si="3"/>
        <v>0</v>
      </c>
      <c r="L259" s="52">
        <v>0</v>
      </c>
      <c r="M259" s="125">
        <f t="shared" si="4"/>
        <v>0</v>
      </c>
      <c r="N259" s="25"/>
      <c r="O259" s="25"/>
      <c r="P259" s="5"/>
    </row>
    <row r="260" spans="1:16" ht="15.6" x14ac:dyDescent="0.3">
      <c r="A260" s="24"/>
      <c r="B260" s="53" t="s">
        <v>146</v>
      </c>
      <c r="C260" s="25"/>
      <c r="D260" s="91"/>
      <c r="E260" s="91"/>
      <c r="F260" s="91"/>
      <c r="G260" s="91"/>
      <c r="H260" s="91"/>
      <c r="I260" s="91"/>
      <c r="J260" s="53">
        <v>0</v>
      </c>
      <c r="K260" s="90">
        <f t="shared" si="3"/>
        <v>0</v>
      </c>
      <c r="L260" s="52">
        <v>0</v>
      </c>
      <c r="M260" s="125">
        <f t="shared" si="4"/>
        <v>0</v>
      </c>
      <c r="N260" s="25"/>
      <c r="O260" s="25"/>
      <c r="P260" s="5"/>
    </row>
    <row r="261" spans="1:16" ht="15.6" x14ac:dyDescent="0.3">
      <c r="A261" s="24"/>
      <c r="B261" s="53" t="s">
        <v>147</v>
      </c>
      <c r="C261" s="25"/>
      <c r="D261" s="91"/>
      <c r="E261" s="91"/>
      <c r="F261" s="91"/>
      <c r="G261" s="91"/>
      <c r="H261" s="91"/>
      <c r="I261" s="91"/>
      <c r="J261" s="53">
        <v>0</v>
      </c>
      <c r="K261" s="90">
        <f t="shared" si="3"/>
        <v>0</v>
      </c>
      <c r="L261" s="52">
        <v>0</v>
      </c>
      <c r="M261" s="125">
        <f t="shared" si="4"/>
        <v>0</v>
      </c>
      <c r="N261" s="25"/>
      <c r="O261" s="25"/>
      <c r="P261" s="5"/>
    </row>
    <row r="262" spans="1:16" ht="15.6" x14ac:dyDescent="0.3">
      <c r="A262" s="24"/>
      <c r="B262" s="53" t="s">
        <v>227</v>
      </c>
      <c r="C262" s="25"/>
      <c r="D262" s="91"/>
      <c r="E262" s="91"/>
      <c r="F262" s="91"/>
      <c r="G262" s="91"/>
      <c r="H262" s="91"/>
      <c r="I262" s="91"/>
      <c r="J262" s="53">
        <v>0</v>
      </c>
      <c r="K262" s="90">
        <f t="shared" si="3"/>
        <v>0</v>
      </c>
      <c r="L262" s="52">
        <v>0</v>
      </c>
      <c r="M262" s="125">
        <f t="shared" si="4"/>
        <v>0</v>
      </c>
      <c r="N262" s="25"/>
      <c r="O262" s="25"/>
      <c r="P262" s="5"/>
    </row>
    <row r="263" spans="1:16" ht="15.6" x14ac:dyDescent="0.3">
      <c r="A263" s="24"/>
      <c r="B263" s="53" t="s">
        <v>228</v>
      </c>
      <c r="C263" s="25"/>
      <c r="D263" s="91"/>
      <c r="E263" s="91"/>
      <c r="F263" s="91"/>
      <c r="G263" s="91"/>
      <c r="H263" s="91"/>
      <c r="I263" s="91"/>
      <c r="J263" s="53">
        <v>0</v>
      </c>
      <c r="K263" s="90">
        <f t="shared" si="3"/>
        <v>0</v>
      </c>
      <c r="L263" s="52">
        <v>0</v>
      </c>
      <c r="M263" s="125">
        <f t="shared" si="4"/>
        <v>0</v>
      </c>
      <c r="N263" s="25"/>
      <c r="O263" s="25"/>
      <c r="P263" s="5"/>
    </row>
    <row r="264" spans="1:16" ht="15.6" x14ac:dyDescent="0.3">
      <c r="A264" s="24"/>
      <c r="B264" s="53" t="s">
        <v>229</v>
      </c>
      <c r="C264" s="25"/>
      <c r="D264" s="91"/>
      <c r="E264" s="91"/>
      <c r="F264" s="91"/>
      <c r="G264" s="91"/>
      <c r="H264" s="91"/>
      <c r="I264" s="91"/>
      <c r="J264" s="53">
        <v>0</v>
      </c>
      <c r="K264" s="90">
        <f t="shared" si="3"/>
        <v>0</v>
      </c>
      <c r="L264" s="52">
        <v>0</v>
      </c>
      <c r="M264" s="125">
        <f t="shared" si="4"/>
        <v>0</v>
      </c>
      <c r="N264" s="25"/>
      <c r="O264" s="25"/>
      <c r="P264" s="5"/>
    </row>
    <row r="265" spans="1:16" ht="15.6" x14ac:dyDescent="0.3">
      <c r="A265" s="24"/>
      <c r="B265" s="53" t="s">
        <v>230</v>
      </c>
      <c r="C265" s="25"/>
      <c r="D265" s="91"/>
      <c r="E265" s="91"/>
      <c r="F265" s="91"/>
      <c r="G265" s="91"/>
      <c r="H265" s="91"/>
      <c r="I265" s="91"/>
      <c r="J265" s="53">
        <v>1</v>
      </c>
      <c r="K265" s="90">
        <f t="shared" si="3"/>
        <v>0.5</v>
      </c>
      <c r="L265" s="52">
        <v>87</v>
      </c>
      <c r="M265" s="125">
        <f t="shared" si="4"/>
        <v>0.38157894736842107</v>
      </c>
      <c r="N265" s="25"/>
      <c r="O265" s="25"/>
      <c r="P265" s="5"/>
    </row>
    <row r="266" spans="1:16" ht="15.6" x14ac:dyDescent="0.3">
      <c r="A266" s="24"/>
      <c r="B266" s="53" t="s">
        <v>231</v>
      </c>
      <c r="C266" s="25"/>
      <c r="D266" s="91"/>
      <c r="E266" s="91"/>
      <c r="F266" s="91"/>
      <c r="G266" s="91"/>
      <c r="H266" s="91"/>
      <c r="I266" s="91"/>
      <c r="J266" s="53">
        <v>0</v>
      </c>
      <c r="K266" s="90">
        <f t="shared" si="3"/>
        <v>0</v>
      </c>
      <c r="L266" s="52">
        <v>0</v>
      </c>
      <c r="M266" s="125">
        <f t="shared" si="4"/>
        <v>0</v>
      </c>
      <c r="N266" s="25"/>
      <c r="O266" s="25"/>
      <c r="P266" s="5"/>
    </row>
    <row r="267" spans="1:16" ht="15.6" x14ac:dyDescent="0.3">
      <c r="A267" s="24"/>
      <c r="B267" s="53" t="s">
        <v>232</v>
      </c>
      <c r="C267" s="25"/>
      <c r="D267" s="91"/>
      <c r="E267" s="91"/>
      <c r="F267" s="91"/>
      <c r="G267" s="91"/>
      <c r="H267" s="91"/>
      <c r="I267" s="91"/>
      <c r="J267" s="53">
        <v>1</v>
      </c>
      <c r="K267" s="90">
        <f t="shared" si="3"/>
        <v>0.5</v>
      </c>
      <c r="L267" s="52">
        <v>141</v>
      </c>
      <c r="M267" s="125">
        <f t="shared" si="4"/>
        <v>0.61842105263157898</v>
      </c>
      <c r="N267" s="25"/>
      <c r="O267" s="25"/>
      <c r="P267" s="5"/>
    </row>
    <row r="268" spans="1:16" ht="15.6" x14ac:dyDescent="0.3">
      <c r="A268" s="24"/>
      <c r="B268" s="53" t="s">
        <v>233</v>
      </c>
      <c r="C268" s="25"/>
      <c r="D268" s="91"/>
      <c r="E268" s="91"/>
      <c r="F268" s="91"/>
      <c r="G268" s="91"/>
      <c r="H268" s="91"/>
      <c r="I268" s="91"/>
      <c r="J268" s="53">
        <v>0</v>
      </c>
      <c r="K268" s="90">
        <v>0</v>
      </c>
      <c r="L268" s="52">
        <v>0</v>
      </c>
      <c r="M268" s="125">
        <f t="shared" si="4"/>
        <v>0</v>
      </c>
      <c r="N268" s="25"/>
      <c r="O268" s="25"/>
      <c r="P268" s="5"/>
    </row>
    <row r="269" spans="1:16" ht="15.6" x14ac:dyDescent="0.3">
      <c r="A269" s="24"/>
      <c r="B269" s="53"/>
      <c r="C269" s="25"/>
      <c r="D269" s="91"/>
      <c r="E269" s="91"/>
      <c r="F269" s="91"/>
      <c r="G269" s="91"/>
      <c r="H269" s="91"/>
      <c r="I269" s="91"/>
      <c r="J269" s="53"/>
      <c r="K269" s="90"/>
      <c r="L269" s="52"/>
      <c r="M269" s="125"/>
      <c r="N269" s="25"/>
      <c r="O269" s="25"/>
      <c r="P269" s="5"/>
    </row>
    <row r="270" spans="1:16" ht="15.6" x14ac:dyDescent="0.3">
      <c r="A270" s="24"/>
      <c r="B270" s="25" t="s">
        <v>114</v>
      </c>
      <c r="C270" s="25"/>
      <c r="D270" s="91"/>
      <c r="E270" s="91"/>
      <c r="F270" s="91"/>
      <c r="G270" s="91"/>
      <c r="H270" s="91"/>
      <c r="I270" s="91"/>
      <c r="J270" s="34">
        <f>SUM(J256:J268)</f>
        <v>2</v>
      </c>
      <c r="K270" s="90">
        <f>SUM(K256:K268)</f>
        <v>1</v>
      </c>
      <c r="L270" s="52">
        <f>SUM(L256:L268)</f>
        <v>228</v>
      </c>
      <c r="M270" s="125">
        <f>SUM(M256:M268)</f>
        <v>1</v>
      </c>
      <c r="N270" s="25"/>
      <c r="O270" s="25"/>
      <c r="P270" s="5"/>
    </row>
    <row r="271" spans="1:16" ht="15.6" x14ac:dyDescent="0.3">
      <c r="A271" s="24"/>
      <c r="B271" s="25"/>
      <c r="C271" s="25"/>
      <c r="D271" s="91"/>
      <c r="E271" s="91"/>
      <c r="F271" s="91"/>
      <c r="G271" s="91"/>
      <c r="H271" s="91"/>
      <c r="I271" s="91"/>
      <c r="J271" s="34"/>
      <c r="K271" s="125"/>
      <c r="L271" s="52"/>
      <c r="M271" s="125"/>
      <c r="N271" s="25"/>
      <c r="O271" s="25"/>
      <c r="P271" s="5"/>
    </row>
    <row r="272" spans="1:16" ht="15.6" x14ac:dyDescent="0.3">
      <c r="A272" s="24"/>
      <c r="B272" s="134" t="s">
        <v>151</v>
      </c>
      <c r="C272" s="25"/>
      <c r="D272" s="91"/>
      <c r="E272" s="91"/>
      <c r="F272" s="91"/>
      <c r="G272" s="91"/>
      <c r="H272" s="91"/>
      <c r="I272" s="91"/>
      <c r="J272" s="149">
        <f>J270+J253+J236</f>
        <v>4474</v>
      </c>
      <c r="K272" s="135"/>
      <c r="L272" s="136">
        <f>+L270+L253+L236</f>
        <v>197053</v>
      </c>
      <c r="M272" s="135"/>
      <c r="N272" s="25"/>
      <c r="O272" s="25"/>
      <c r="P272" s="5"/>
    </row>
    <row r="273" spans="1:16" ht="15.6" x14ac:dyDescent="0.3">
      <c r="A273" s="24"/>
      <c r="B273" s="25"/>
      <c r="C273" s="25"/>
      <c r="D273" s="91"/>
      <c r="E273" s="91"/>
      <c r="F273" s="91"/>
      <c r="G273" s="91"/>
      <c r="H273" s="91"/>
      <c r="I273" s="91"/>
      <c r="J273" s="91"/>
      <c r="K273" s="91"/>
      <c r="L273" s="52"/>
      <c r="M273" s="91"/>
      <c r="N273" s="25"/>
      <c r="O273" s="25"/>
      <c r="P273" s="5"/>
    </row>
    <row r="274" spans="1:16" ht="15.6" x14ac:dyDescent="0.3">
      <c r="A274" s="6"/>
      <c r="B274" s="8"/>
      <c r="C274" s="8"/>
      <c r="D274" s="92"/>
      <c r="E274" s="92"/>
      <c r="F274" s="92"/>
      <c r="G274" s="92"/>
      <c r="H274" s="92"/>
      <c r="I274" s="92"/>
      <c r="J274" s="92"/>
      <c r="K274" s="92"/>
      <c r="L274" s="93"/>
      <c r="M274" s="92"/>
      <c r="N274" s="8"/>
      <c r="O274" s="8"/>
      <c r="P274" s="5"/>
    </row>
    <row r="275" spans="1:16" ht="15.6" x14ac:dyDescent="0.3">
      <c r="A275" s="179"/>
      <c r="B275" s="14" t="s">
        <v>88</v>
      </c>
      <c r="C275" s="15"/>
      <c r="D275" s="17" t="s">
        <v>94</v>
      </c>
      <c r="E275" s="15"/>
      <c r="F275" s="14" t="s">
        <v>96</v>
      </c>
      <c r="G275" s="174"/>
      <c r="H275" s="174"/>
      <c r="I275" s="174"/>
      <c r="J275" s="17"/>
      <c r="K275" s="15"/>
      <c r="L275" s="14"/>
      <c r="M275" s="174"/>
      <c r="N275" s="174"/>
      <c r="O275" s="174"/>
      <c r="P275" s="5"/>
    </row>
    <row r="276" spans="1:16" ht="15.6" x14ac:dyDescent="0.3">
      <c r="A276" s="179"/>
      <c r="B276" s="174"/>
      <c r="C276" s="8"/>
      <c r="D276" s="8"/>
      <c r="E276" s="8"/>
      <c r="F276" s="8"/>
      <c r="G276" s="174"/>
      <c r="H276" s="174"/>
      <c r="I276" s="174"/>
      <c r="J276" s="8"/>
      <c r="K276" s="8"/>
      <c r="L276" s="8"/>
      <c r="M276" s="174"/>
      <c r="N276" s="174"/>
      <c r="O276" s="174"/>
      <c r="P276" s="5"/>
    </row>
    <row r="277" spans="1:16" ht="15.6" x14ac:dyDescent="0.3">
      <c r="A277" s="179"/>
      <c r="B277" s="13" t="s">
        <v>89</v>
      </c>
      <c r="C277" s="13"/>
      <c r="D277" s="123" t="s">
        <v>138</v>
      </c>
      <c r="E277" s="13"/>
      <c r="F277" s="13" t="s">
        <v>141</v>
      </c>
      <c r="G277" s="174"/>
      <c r="H277" s="174"/>
      <c r="I277" s="174"/>
      <c r="J277" s="123"/>
      <c r="K277" s="13"/>
      <c r="L277" s="13"/>
      <c r="M277" s="174"/>
      <c r="N277" s="174"/>
      <c r="O277" s="174"/>
      <c r="P277" s="5"/>
    </row>
    <row r="278" spans="1:16" ht="15.6" x14ac:dyDescent="0.3">
      <c r="A278" s="13"/>
      <c r="B278" s="13" t="s">
        <v>239</v>
      </c>
      <c r="C278" s="13"/>
      <c r="D278" s="123" t="s">
        <v>240</v>
      </c>
      <c r="E278" s="123"/>
      <c r="F278" s="13" t="s">
        <v>241</v>
      </c>
      <c r="G278" s="13"/>
      <c r="H278" s="174"/>
      <c r="I278" s="174"/>
      <c r="J278" s="123"/>
      <c r="K278" s="13"/>
      <c r="L278" s="13"/>
      <c r="M278" s="174"/>
      <c r="N278" s="174"/>
      <c r="O278" s="174"/>
      <c r="P278" s="5"/>
    </row>
    <row r="279" spans="1:16" ht="15.6" x14ac:dyDescent="0.3">
      <c r="A279" s="179"/>
      <c r="B279" s="13" t="s">
        <v>90</v>
      </c>
      <c r="C279" s="13"/>
      <c r="D279" s="123" t="s">
        <v>137</v>
      </c>
      <c r="E279" s="13"/>
      <c r="F279" s="13" t="s">
        <v>142</v>
      </c>
      <c r="G279" s="174"/>
      <c r="H279" s="174"/>
      <c r="I279" s="174"/>
      <c r="J279" s="123"/>
      <c r="K279" s="13"/>
      <c r="L279" s="13"/>
      <c r="M279" s="174"/>
      <c r="N279" s="174"/>
      <c r="O279" s="174"/>
      <c r="P279" s="5"/>
    </row>
    <row r="280" spans="1:16" ht="15.6" x14ac:dyDescent="0.3">
      <c r="A280" s="179"/>
      <c r="B280" s="13"/>
      <c r="C280" s="13"/>
      <c r="D280" s="174"/>
      <c r="E280" s="174"/>
      <c r="F280" s="174"/>
      <c r="G280" s="174"/>
      <c r="H280" s="174"/>
      <c r="I280" s="174"/>
      <c r="J280" s="174"/>
      <c r="K280" s="174"/>
      <c r="L280" s="174"/>
      <c r="M280" s="174"/>
      <c r="N280" s="174"/>
      <c r="O280" s="174"/>
      <c r="P280" s="5"/>
    </row>
    <row r="281" spans="1:16" ht="15.6" x14ac:dyDescent="0.3">
      <c r="A281" s="179"/>
      <c r="B281" s="13"/>
      <c r="C281" s="13"/>
      <c r="D281" s="174"/>
      <c r="E281" s="174"/>
      <c r="F281" s="174"/>
      <c r="G281" s="174"/>
      <c r="H281" s="174"/>
      <c r="I281" s="174"/>
      <c r="J281" s="174"/>
      <c r="K281" s="174"/>
      <c r="L281" s="174"/>
      <c r="M281" s="174"/>
      <c r="N281" s="174"/>
      <c r="O281" s="174"/>
      <c r="P281" s="5"/>
    </row>
    <row r="282" spans="1:16" ht="18" thickBot="1" x14ac:dyDescent="0.35">
      <c r="A282" s="179"/>
      <c r="B282" s="48" t="str">
        <f>B183</f>
        <v>FF7 INVESTOR REPORT QUARTER ENDING NOVEMBER 2007</v>
      </c>
      <c r="C282" s="13"/>
      <c r="D282" s="174"/>
      <c r="E282" s="174"/>
      <c r="F282" s="174"/>
      <c r="G282" s="174"/>
      <c r="H282" s="174"/>
      <c r="I282" s="174"/>
      <c r="J282" s="174"/>
      <c r="K282" s="174"/>
      <c r="L282" s="174"/>
      <c r="M282" s="174"/>
      <c r="N282" s="174"/>
      <c r="O282" s="174"/>
      <c r="P282" s="5"/>
    </row>
    <row r="283" spans="1:16" x14ac:dyDescent="0.25">
      <c r="A283" s="95"/>
      <c r="B283" s="95"/>
      <c r="C283" s="95"/>
      <c r="D283" s="95"/>
      <c r="E283" s="95"/>
      <c r="F283" s="95"/>
      <c r="G283" s="95"/>
      <c r="H283" s="95"/>
      <c r="I283" s="95"/>
      <c r="J283" s="95"/>
      <c r="K283" s="95"/>
      <c r="L283" s="95"/>
      <c r="M283" s="95"/>
      <c r="N283" s="95"/>
      <c r="O283"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3" manualBreakCount="3">
    <brk id="52" max="14" man="1"/>
    <brk id="116" max="14" man="1"/>
    <brk id="183" max="1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299"/>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9.4E-2</v>
      </c>
      <c r="L16" s="232" t="s">
        <v>133</v>
      </c>
      <c r="M16" s="231">
        <v>0.90600000000000003</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41904</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41422.052900000002</v>
      </c>
      <c r="E29" s="279"/>
      <c r="F29" s="279">
        <f>F28*F32</f>
        <v>1598.20047</v>
      </c>
      <c r="G29" s="279"/>
      <c r="H29" s="279">
        <f>H28*H32</f>
        <v>1598.20047</v>
      </c>
      <c r="I29" s="279"/>
      <c r="J29" s="284"/>
      <c r="K29" s="279"/>
      <c r="L29" s="279"/>
      <c r="M29" s="280"/>
      <c r="N29" s="279">
        <f>SUM(D29:H29)</f>
        <v>44618.453840000009</v>
      </c>
      <c r="O29" s="281"/>
      <c r="P29" s="5"/>
    </row>
    <row r="30" spans="1:16" ht="15.6" x14ac:dyDescent="0.3">
      <c r="A30" s="274"/>
      <c r="B30" s="275" t="s">
        <v>130</v>
      </c>
      <c r="C30" s="278"/>
      <c r="D30" s="285">
        <f>D28*D31</f>
        <v>38004.188699999999</v>
      </c>
      <c r="E30" s="285"/>
      <c r="F30" s="285">
        <f>F28*F31</f>
        <v>1598.20047</v>
      </c>
      <c r="G30" s="285"/>
      <c r="H30" s="285">
        <f>H28*H31</f>
        <v>1598.20047</v>
      </c>
      <c r="I30" s="285"/>
      <c r="J30" s="288"/>
      <c r="K30" s="279"/>
      <c r="L30" s="279"/>
      <c r="M30" s="280"/>
      <c r="N30" s="285">
        <f>SUM(D30:I30)</f>
        <v>41200.589640000006</v>
      </c>
      <c r="O30" s="281"/>
      <c r="P30" s="5"/>
    </row>
    <row r="31" spans="1:16" ht="15.6" x14ac:dyDescent="0.3">
      <c r="A31" s="262"/>
      <c r="B31" s="290" t="s">
        <v>126</v>
      </c>
      <c r="C31" s="291"/>
      <c r="D31" s="292">
        <v>0.1458894</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0.15900980000000001</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7.9813000000000002E-3</v>
      </c>
      <c r="E34" s="297"/>
      <c r="F34" s="298">
        <v>9.1812999999999999E-3</v>
      </c>
      <c r="G34" s="297"/>
      <c r="H34" s="298">
        <v>1.11813E-2</v>
      </c>
      <c r="I34" s="297"/>
      <c r="J34" s="298"/>
      <c r="K34" s="297"/>
      <c r="L34" s="298"/>
      <c r="M34" s="268"/>
      <c r="N34" s="297">
        <f>SUMPRODUCT(D34:H34,D29:H29)/N29</f>
        <v>8.1389047904577034E-3</v>
      </c>
      <c r="O34" s="266"/>
      <c r="P34" s="5"/>
    </row>
    <row r="35" spans="1:17" ht="15.6" x14ac:dyDescent="0.3">
      <c r="A35" s="274"/>
      <c r="B35" s="263" t="s">
        <v>11</v>
      </c>
      <c r="C35" s="263"/>
      <c r="D35" s="298">
        <v>7.6062999999999999E-3</v>
      </c>
      <c r="E35" s="297"/>
      <c r="F35" s="298">
        <v>8.8062999999999995E-3</v>
      </c>
      <c r="G35" s="297"/>
      <c r="H35" s="298">
        <v>1.08063E-2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8.4106543234798756E-2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41897</v>
      </c>
      <c r="O45" s="266"/>
      <c r="P45" s="5"/>
    </row>
    <row r="46" spans="1:17" ht="15.6" x14ac:dyDescent="0.3">
      <c r="A46" s="274"/>
      <c r="B46" s="263" t="s">
        <v>119</v>
      </c>
      <c r="C46" s="263"/>
      <c r="D46" s="305"/>
      <c r="E46" s="305"/>
      <c r="F46" s="305"/>
      <c r="G46" s="305"/>
      <c r="H46" s="305"/>
      <c r="I46" s="305"/>
      <c r="J46" s="263">
        <f>+N46-L46+1</f>
        <v>91</v>
      </c>
      <c r="K46" s="305"/>
      <c r="L46" s="306">
        <v>41715</v>
      </c>
      <c r="M46" s="307"/>
      <c r="N46" s="306">
        <v>41805</v>
      </c>
      <c r="O46" s="266"/>
      <c r="P46" s="5"/>
    </row>
    <row r="47" spans="1:17" ht="15.6" x14ac:dyDescent="0.3">
      <c r="A47" s="274"/>
      <c r="B47" s="263" t="s">
        <v>120</v>
      </c>
      <c r="C47" s="263"/>
      <c r="D47" s="263"/>
      <c r="E47" s="263"/>
      <c r="F47" s="263"/>
      <c r="G47" s="263"/>
      <c r="H47" s="263"/>
      <c r="I47" s="263"/>
      <c r="J47" s="263">
        <f>+N47-L47+1</f>
        <v>91</v>
      </c>
      <c r="K47" s="263"/>
      <c r="L47" s="306">
        <v>41806</v>
      </c>
      <c r="M47" s="307"/>
      <c r="N47" s="306">
        <v>41896</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41883</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280</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44618</v>
      </c>
      <c r="G56" s="264"/>
      <c r="H56" s="264">
        <v>3417</v>
      </c>
      <c r="I56" s="264"/>
      <c r="J56" s="264">
        <v>0</v>
      </c>
      <c r="K56" s="264"/>
      <c r="L56" s="264">
        <v>0</v>
      </c>
      <c r="M56" s="264"/>
      <c r="N56" s="265">
        <f>+F56-H56+J56-L56</f>
        <v>41201</v>
      </c>
      <c r="O56" s="266"/>
      <c r="P56" s="5"/>
    </row>
    <row r="57" spans="1:16" ht="15.6" x14ac:dyDescent="0.3">
      <c r="A57" s="262"/>
      <c r="B57" s="263" t="s">
        <v>209</v>
      </c>
      <c r="C57" s="264"/>
      <c r="D57" s="264">
        <v>756</v>
      </c>
      <c r="E57" s="264"/>
      <c r="F57" s="265">
        <v>317</v>
      </c>
      <c r="G57" s="264"/>
      <c r="H57" s="264">
        <v>12</v>
      </c>
      <c r="I57" s="264"/>
      <c r="J57" s="264">
        <v>0</v>
      </c>
      <c r="K57" s="264"/>
      <c r="L57" s="264">
        <v>0</v>
      </c>
      <c r="M57" s="264"/>
      <c r="N57" s="265">
        <f>+F57-H57</f>
        <v>305</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44935</v>
      </c>
      <c r="G59" s="264"/>
      <c r="H59" s="264">
        <f>SUM(H56:H58)</f>
        <v>3429</v>
      </c>
      <c r="I59" s="264"/>
      <c r="J59" s="264">
        <f>SUM(J56:J58)</f>
        <v>0</v>
      </c>
      <c r="K59" s="264"/>
      <c r="L59" s="264">
        <f>SUM(L56:L58)</f>
        <v>0</v>
      </c>
      <c r="M59" s="264"/>
      <c r="N59" s="264">
        <f>SUM(N56:N58)</f>
        <v>41506</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-317</v>
      </c>
      <c r="G68" s="264"/>
      <c r="H68" s="264"/>
      <c r="I68" s="264"/>
      <c r="J68" s="264"/>
      <c r="K68" s="264"/>
      <c r="L68" s="264"/>
      <c r="M68" s="264"/>
      <c r="N68" s="265">
        <f>-N57</f>
        <v>-305</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44618</v>
      </c>
      <c r="G72" s="264"/>
      <c r="H72" s="264"/>
      <c r="I72" s="264"/>
      <c r="J72" s="264"/>
      <c r="K72" s="264"/>
      <c r="L72" s="264"/>
      <c r="M72" s="264"/>
      <c r="N72" s="264">
        <f>SUM(N59:N71)</f>
        <v>41201</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41880</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3417-1</f>
        <v>3416</v>
      </c>
      <c r="M77" s="263"/>
      <c r="N77" s="265"/>
      <c r="O77" s="266"/>
      <c r="P77" s="5"/>
    </row>
    <row r="78" spans="1:16" ht="15.6" x14ac:dyDescent="0.3">
      <c r="A78" s="262"/>
      <c r="B78" s="263" t="s">
        <v>176</v>
      </c>
      <c r="C78" s="263"/>
      <c r="D78" s="300"/>
      <c r="E78" s="263"/>
      <c r="F78" s="309"/>
      <c r="G78" s="263"/>
      <c r="H78" s="263"/>
      <c r="I78" s="263"/>
      <c r="J78" s="263"/>
      <c r="K78" s="263"/>
      <c r="L78" s="264"/>
      <c r="M78" s="263"/>
      <c r="N78" s="265">
        <f>1148+100+926-993-58-754</f>
        <v>369</v>
      </c>
      <c r="O78" s="266"/>
      <c r="P78" s="5"/>
    </row>
    <row r="79" spans="1:16" ht="15.6" x14ac:dyDescent="0.3">
      <c r="A79" s="262"/>
      <c r="B79" s="263" t="s">
        <v>174</v>
      </c>
      <c r="C79" s="263"/>
      <c r="D79" s="300"/>
      <c r="E79" s="263"/>
      <c r="F79" s="309"/>
      <c r="G79" s="263"/>
      <c r="H79" s="263"/>
      <c r="I79" s="263"/>
      <c r="J79" s="263"/>
      <c r="K79" s="263"/>
      <c r="L79" s="264"/>
      <c r="M79" s="263"/>
      <c r="N79" s="265">
        <f>109+3+60</f>
        <v>172</v>
      </c>
      <c r="O79" s="266"/>
      <c r="P79" s="5"/>
    </row>
    <row r="80" spans="1:16" ht="15.6" x14ac:dyDescent="0.3">
      <c r="A80" s="262"/>
      <c r="B80" s="263" t="s">
        <v>175</v>
      </c>
      <c r="C80" s="263"/>
      <c r="D80" s="300"/>
      <c r="E80" s="263"/>
      <c r="F80" s="309"/>
      <c r="G80" s="263"/>
      <c r="H80" s="263"/>
      <c r="I80" s="263"/>
      <c r="J80" s="263"/>
      <c r="K80" s="263"/>
      <c r="L80" s="264"/>
      <c r="M80" s="263"/>
      <c r="N80" s="265">
        <v>3</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3416</v>
      </c>
      <c r="M83" s="263"/>
      <c r="N83" s="264">
        <f>SUM(N76:N82)</f>
        <v>544</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3416</v>
      </c>
      <c r="M87" s="263"/>
      <c r="N87" s="264">
        <f>N83+N85+N84+N86</f>
        <v>544</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-17-1-138</f>
        <v>-156</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-82</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1</v>
      </c>
      <c r="M98" s="263"/>
      <c r="N98" s="265">
        <v>-1</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-17</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-271</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-3417</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-3417</v>
      </c>
      <c r="M111" s="264"/>
      <c r="N111" s="264">
        <f>SUM(N88:N109)</f>
        <v>-544</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AUGUST 2014</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v>
      </c>
      <c r="O144" s="266"/>
      <c r="P144" s="5"/>
    </row>
    <row r="145" spans="1:256" ht="15.6" x14ac:dyDescent="0.3">
      <c r="A145" s="262"/>
      <c r="B145" s="263" t="s">
        <v>51</v>
      </c>
      <c r="C145" s="263"/>
      <c r="D145" s="263"/>
      <c r="E145" s="263"/>
      <c r="F145" s="263"/>
      <c r="G145" s="263"/>
      <c r="H145" s="263"/>
      <c r="I145" s="263"/>
      <c r="J145" s="263"/>
      <c r="K145" s="263"/>
      <c r="L145" s="263"/>
      <c r="M145" s="263"/>
      <c r="N145" s="265">
        <f>+N143+N144</f>
        <v>1</v>
      </c>
      <c r="O145" s="266"/>
      <c r="P145" s="5"/>
    </row>
    <row r="146" spans="1:256" ht="15.6" x14ac:dyDescent="0.3">
      <c r="A146" s="262"/>
      <c r="B146" s="263" t="s">
        <v>264</v>
      </c>
      <c r="C146" s="263"/>
      <c r="D146" s="263"/>
      <c r="E146" s="263"/>
      <c r="F146" s="263"/>
      <c r="G146" s="263"/>
      <c r="H146" s="263"/>
      <c r="I146" s="263"/>
      <c r="J146" s="263"/>
      <c r="K146" s="263"/>
      <c r="L146" s="263"/>
      <c r="M146" s="263"/>
      <c r="N146" s="265">
        <f>N98</f>
        <v>-1</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41201</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41201</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+'May 14'!N161</f>
        <v>317</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12</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305</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+'May 14'!L168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4.7073170731707314</v>
      </c>
      <c r="O173" s="266" t="s">
        <v>115</v>
      </c>
      <c r="P173" s="5"/>
    </row>
    <row r="174" spans="1:256" ht="15.6" x14ac:dyDescent="0.3">
      <c r="A174" s="262"/>
      <c r="B174" s="263" t="s">
        <v>63</v>
      </c>
      <c r="C174" s="263"/>
      <c r="D174" s="263"/>
      <c r="E174" s="263"/>
      <c r="F174" s="263"/>
      <c r="G174" s="263"/>
      <c r="H174" s="263"/>
      <c r="I174" s="263"/>
      <c r="J174" s="263"/>
      <c r="K174" s="263"/>
      <c r="L174" s="263"/>
      <c r="M174" s="263"/>
      <c r="N174" s="315">
        <v>2.12</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76</v>
      </c>
      <c r="O175" s="266" t="s">
        <v>115</v>
      </c>
      <c r="P175" s="5"/>
    </row>
    <row r="176" spans="1:256" ht="15.6" x14ac:dyDescent="0.3">
      <c r="A176" s="262"/>
      <c r="B176" s="263" t="s">
        <v>65</v>
      </c>
      <c r="C176" s="263"/>
      <c r="D176" s="263"/>
      <c r="E176" s="263"/>
      <c r="F176" s="263"/>
      <c r="G176" s="263"/>
      <c r="H176" s="263"/>
      <c r="I176" s="263"/>
      <c r="J176" s="263"/>
      <c r="K176" s="263"/>
      <c r="L176" s="263"/>
      <c r="M176" s="263"/>
      <c r="N176" s="315">
        <v>48.91</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75</v>
      </c>
      <c r="O177" s="266" t="s">
        <v>115</v>
      </c>
      <c r="P177" s="5"/>
    </row>
    <row r="178" spans="1:16" ht="15.6" x14ac:dyDescent="0.3">
      <c r="A178" s="262"/>
      <c r="B178" s="263" t="s">
        <v>167</v>
      </c>
      <c r="C178" s="263"/>
      <c r="D178" s="263"/>
      <c r="E178" s="263"/>
      <c r="F178" s="263"/>
      <c r="G178" s="263"/>
      <c r="H178" s="263"/>
      <c r="I178" s="263"/>
      <c r="J178" s="263"/>
      <c r="K178" s="263"/>
      <c r="L178" s="263"/>
      <c r="M178" s="263"/>
      <c r="N178" s="315">
        <v>45.05</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AUGUST 2014</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41880</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4.879E-2</v>
      </c>
      <c r="M188" s="263"/>
      <c r="N188" s="263"/>
      <c r="O188" s="266"/>
      <c r="P188" s="5"/>
    </row>
    <row r="189" spans="1:16" ht="15.6" x14ac:dyDescent="0.3">
      <c r="A189" s="321"/>
      <c r="B189" s="263" t="s">
        <v>212</v>
      </c>
      <c r="C189" s="322"/>
      <c r="D189" s="303"/>
      <c r="E189" s="303"/>
      <c r="F189" s="303"/>
      <c r="G189" s="303"/>
      <c r="H189" s="303"/>
      <c r="I189" s="303"/>
      <c r="J189" s="303"/>
      <c r="K189" s="303"/>
      <c r="L189" s="297">
        <f>N34</f>
        <v>8.1389047904577034E-3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4.0651095209542298E-2</v>
      </c>
      <c r="M190" s="263"/>
      <c r="N190" s="263"/>
      <c r="O190" s="266"/>
      <c r="P190" s="5"/>
    </row>
    <row r="191" spans="1:16" ht="15.6" x14ac:dyDescent="0.3">
      <c r="A191" s="321"/>
      <c r="B191" s="263" t="s">
        <v>203</v>
      </c>
      <c r="C191" s="322"/>
      <c r="D191" s="303"/>
      <c r="E191" s="303"/>
      <c r="F191" s="303"/>
      <c r="G191" s="303"/>
      <c r="H191" s="303"/>
      <c r="I191" s="303"/>
      <c r="J191" s="303"/>
      <c r="K191" s="303"/>
      <c r="L191" s="297">
        <f>+N87/F59</f>
        <v>1.2106375876265717E-2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4.84</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7.658344166031647E-2</v>
      </c>
      <c r="M197" s="263"/>
      <c r="N197" s="263"/>
      <c r="O197" s="266"/>
      <c r="P197" s="5"/>
    </row>
    <row r="198" spans="1:16" ht="15.6" x14ac:dyDescent="0.3">
      <c r="A198" s="321"/>
      <c r="B198" s="263" t="s">
        <v>74</v>
      </c>
      <c r="C198" s="322"/>
      <c r="D198" s="303"/>
      <c r="E198" s="303"/>
      <c r="F198" s="303"/>
      <c r="G198" s="303"/>
      <c r="H198" s="303"/>
      <c r="I198" s="303"/>
      <c r="J198" s="303"/>
      <c r="K198" s="303"/>
      <c r="L198" s="297">
        <v>0.27</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7</v>
      </c>
      <c r="L201" s="331">
        <v>266</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2</v>
      </c>
      <c r="L203" s="331">
        <f>+L286</f>
        <v>1062</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v>
      </c>
      <c r="M207" s="291"/>
      <c r="N207" s="337"/>
      <c r="O207" s="342"/>
      <c r="P207" s="5"/>
    </row>
    <row r="208" spans="1:16" ht="15.6" x14ac:dyDescent="0.3">
      <c r="A208" s="330"/>
      <c r="B208" s="263" t="s">
        <v>82</v>
      </c>
      <c r="C208" s="264"/>
      <c r="D208" s="263"/>
      <c r="E208" s="263"/>
      <c r="F208" s="263"/>
      <c r="G208" s="263"/>
      <c r="H208" s="263"/>
      <c r="I208" s="263"/>
      <c r="J208" s="263"/>
      <c r="K208" s="276"/>
      <c r="L208" s="331">
        <f>'May 14'!L208+L207</f>
        <v>40</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910</v>
      </c>
      <c r="K221" s="355">
        <f t="shared" ref="K221:K233" si="2">J221/$J$235</f>
        <v>0.94202898550724634</v>
      </c>
      <c r="L221" s="265">
        <f t="shared" ref="L221:L233" si="3">+L238+L255+L272</f>
        <v>37705</v>
      </c>
      <c r="M221" s="355">
        <f t="shared" ref="M221:M233" si="4">L221/$L$235</f>
        <v>0.9151476905900342</v>
      </c>
      <c r="N221" s="332"/>
      <c r="O221" s="356"/>
      <c r="P221" s="5"/>
    </row>
    <row r="222" spans="1:17" ht="15.6" x14ac:dyDescent="0.3">
      <c r="A222" s="262"/>
      <c r="B222" s="264" t="s">
        <v>86</v>
      </c>
      <c r="C222" s="354"/>
      <c r="D222" s="354"/>
      <c r="E222" s="354"/>
      <c r="F222" s="354"/>
      <c r="G222" s="354"/>
      <c r="H222" s="354"/>
      <c r="I222" s="354"/>
      <c r="J222" s="264">
        <f t="shared" si="1"/>
        <v>16</v>
      </c>
      <c r="K222" s="355">
        <f t="shared" si="2"/>
        <v>1.6563146997929608E-2</v>
      </c>
      <c r="L222" s="265">
        <f t="shared" si="3"/>
        <v>800</v>
      </c>
      <c r="M222" s="355">
        <f t="shared" si="4"/>
        <v>1.9417004441639765E-2</v>
      </c>
      <c r="N222" s="332"/>
      <c r="O222" s="356"/>
      <c r="P222" s="5"/>
      <c r="Q222" s="104"/>
    </row>
    <row r="223" spans="1:17" ht="15.6" x14ac:dyDescent="0.3">
      <c r="A223" s="262"/>
      <c r="B223" s="264" t="s">
        <v>87</v>
      </c>
      <c r="C223" s="354"/>
      <c r="D223" s="354"/>
      <c r="E223" s="354"/>
      <c r="F223" s="354"/>
      <c r="G223" s="354"/>
      <c r="H223" s="354"/>
      <c r="I223" s="354"/>
      <c r="J223" s="264">
        <f t="shared" si="1"/>
        <v>12</v>
      </c>
      <c r="K223" s="355">
        <f t="shared" si="2"/>
        <v>1.2422360248447204E-2</v>
      </c>
      <c r="L223" s="265">
        <f t="shared" si="3"/>
        <v>433</v>
      </c>
      <c r="M223" s="355">
        <f t="shared" si="4"/>
        <v>1.0509453654037524E-2</v>
      </c>
      <c r="N223" s="332"/>
      <c r="O223" s="356"/>
      <c r="P223" s="5"/>
    </row>
    <row r="224" spans="1:17" ht="15.6" x14ac:dyDescent="0.3">
      <c r="A224" s="262"/>
      <c r="B224" s="264" t="s">
        <v>145</v>
      </c>
      <c r="C224" s="354"/>
      <c r="D224" s="354"/>
      <c r="E224" s="354"/>
      <c r="F224" s="354"/>
      <c r="G224" s="354"/>
      <c r="H224" s="354"/>
      <c r="I224" s="354"/>
      <c r="J224" s="264">
        <f t="shared" si="1"/>
        <v>5</v>
      </c>
      <c r="K224" s="355">
        <f t="shared" si="2"/>
        <v>5.175983436853002E-3</v>
      </c>
      <c r="L224" s="265">
        <f t="shared" si="3"/>
        <v>178</v>
      </c>
      <c r="M224" s="355">
        <f t="shared" si="4"/>
        <v>4.3202834882648481E-3</v>
      </c>
      <c r="N224" s="332"/>
      <c r="O224" s="356"/>
      <c r="P224" s="5"/>
      <c r="Q224" s="104"/>
    </row>
    <row r="225" spans="1:17" ht="15.6" x14ac:dyDescent="0.3">
      <c r="A225" s="262"/>
      <c r="B225" s="264" t="s">
        <v>146</v>
      </c>
      <c r="C225" s="354"/>
      <c r="D225" s="354"/>
      <c r="E225" s="354"/>
      <c r="F225" s="354"/>
      <c r="G225" s="354"/>
      <c r="H225" s="354"/>
      <c r="I225" s="354"/>
      <c r="J225" s="264">
        <f t="shared" si="1"/>
        <v>1</v>
      </c>
      <c r="K225" s="355">
        <f t="shared" si="2"/>
        <v>1.0351966873706005E-3</v>
      </c>
      <c r="L225" s="265">
        <f t="shared" si="3"/>
        <v>29</v>
      </c>
      <c r="M225" s="355">
        <f t="shared" si="4"/>
        <v>7.0386641100944147E-4</v>
      </c>
      <c r="N225" s="332"/>
      <c r="O225" s="356"/>
      <c r="P225" s="5"/>
    </row>
    <row r="226" spans="1:17" ht="15.6" x14ac:dyDescent="0.3">
      <c r="A226" s="262"/>
      <c r="B226" s="264" t="s">
        <v>147</v>
      </c>
      <c r="C226" s="354"/>
      <c r="D226" s="354"/>
      <c r="E226" s="354"/>
      <c r="F226" s="354"/>
      <c r="G226" s="354"/>
      <c r="H226" s="354"/>
      <c r="I226" s="354"/>
      <c r="J226" s="264">
        <f t="shared" si="1"/>
        <v>2</v>
      </c>
      <c r="K226" s="355">
        <f t="shared" si="2"/>
        <v>2.070393374741201E-3</v>
      </c>
      <c r="L226" s="265">
        <f t="shared" si="3"/>
        <v>64</v>
      </c>
      <c r="M226" s="355">
        <f t="shared" si="4"/>
        <v>1.5533603553311813E-3</v>
      </c>
      <c r="N226" s="332"/>
      <c r="O226" s="356"/>
      <c r="P226" s="5"/>
      <c r="Q226" s="104"/>
    </row>
    <row r="227" spans="1:17" ht="15.6" x14ac:dyDescent="0.3">
      <c r="A227" s="262"/>
      <c r="B227" s="264" t="s">
        <v>227</v>
      </c>
      <c r="C227" s="354"/>
      <c r="D227" s="354"/>
      <c r="E227" s="354"/>
      <c r="F227" s="354"/>
      <c r="G227" s="354"/>
      <c r="H227" s="354"/>
      <c r="I227" s="354"/>
      <c r="J227" s="264">
        <f t="shared" si="1"/>
        <v>5</v>
      </c>
      <c r="K227" s="355">
        <f t="shared" si="2"/>
        <v>5.175983436853002E-3</v>
      </c>
      <c r="L227" s="265">
        <f t="shared" si="3"/>
        <v>199</v>
      </c>
      <c r="M227" s="355">
        <f t="shared" si="4"/>
        <v>4.8299798548578918E-3</v>
      </c>
      <c r="N227" s="332"/>
      <c r="O227" s="356"/>
      <c r="P227" s="5"/>
    </row>
    <row r="228" spans="1:17" ht="15.6" x14ac:dyDescent="0.3">
      <c r="A228" s="262"/>
      <c r="B228" s="264" t="s">
        <v>228</v>
      </c>
      <c r="C228" s="354"/>
      <c r="D228" s="354"/>
      <c r="E228" s="354"/>
      <c r="F228" s="354"/>
      <c r="G228" s="354"/>
      <c r="H228" s="354"/>
      <c r="I228" s="354"/>
      <c r="J228" s="264">
        <f t="shared" si="1"/>
        <v>3</v>
      </c>
      <c r="K228" s="355">
        <f t="shared" si="2"/>
        <v>3.105590062111801E-3</v>
      </c>
      <c r="L228" s="265">
        <f t="shared" si="3"/>
        <v>244</v>
      </c>
      <c r="M228" s="355">
        <f t="shared" si="4"/>
        <v>5.9221863547001289E-3</v>
      </c>
      <c r="N228" s="332"/>
      <c r="O228" s="356"/>
      <c r="P228" s="5"/>
      <c r="Q228" s="104"/>
    </row>
    <row r="229" spans="1:17" ht="15.6" x14ac:dyDescent="0.3">
      <c r="A229" s="262"/>
      <c r="B229" s="264" t="s">
        <v>229</v>
      </c>
      <c r="C229" s="354"/>
      <c r="D229" s="354"/>
      <c r="E229" s="354"/>
      <c r="F229" s="354"/>
      <c r="G229" s="354"/>
      <c r="H229" s="354"/>
      <c r="I229" s="354"/>
      <c r="J229" s="264">
        <f t="shared" si="1"/>
        <v>2</v>
      </c>
      <c r="K229" s="355">
        <f t="shared" si="2"/>
        <v>2.070393374741201E-3</v>
      </c>
      <c r="L229" s="265">
        <f t="shared" si="3"/>
        <v>63</v>
      </c>
      <c r="M229" s="355">
        <f t="shared" si="4"/>
        <v>1.5290890997791315E-3</v>
      </c>
      <c r="N229" s="332"/>
      <c r="O229" s="356"/>
      <c r="P229" s="5"/>
      <c r="Q229" s="104"/>
    </row>
    <row r="230" spans="1:17" ht="15.6" x14ac:dyDescent="0.3">
      <c r="A230" s="262"/>
      <c r="B230" s="264" t="s">
        <v>230</v>
      </c>
      <c r="C230" s="354"/>
      <c r="D230" s="354"/>
      <c r="E230" s="354"/>
      <c r="F230" s="354"/>
      <c r="G230" s="354"/>
      <c r="H230" s="354"/>
      <c r="I230" s="354"/>
      <c r="J230" s="264">
        <f t="shared" si="1"/>
        <v>4</v>
      </c>
      <c r="K230" s="355">
        <f t="shared" si="2"/>
        <v>4.140786749482402E-3</v>
      </c>
      <c r="L230" s="265">
        <f t="shared" si="3"/>
        <v>175</v>
      </c>
      <c r="M230" s="355">
        <f t="shared" si="4"/>
        <v>4.2474697216086984E-3</v>
      </c>
      <c r="N230" s="332"/>
      <c r="O230" s="356"/>
      <c r="P230" s="5"/>
      <c r="Q230" s="104"/>
    </row>
    <row r="231" spans="1:17" ht="15.6" x14ac:dyDescent="0.3">
      <c r="A231" s="262"/>
      <c r="B231" s="264" t="s">
        <v>231</v>
      </c>
      <c r="C231" s="354"/>
      <c r="D231" s="354"/>
      <c r="E231" s="354"/>
      <c r="F231" s="354"/>
      <c r="G231" s="354"/>
      <c r="H231" s="354"/>
      <c r="I231" s="354"/>
      <c r="J231" s="264">
        <f t="shared" si="1"/>
        <v>1</v>
      </c>
      <c r="K231" s="355">
        <f t="shared" si="2"/>
        <v>1.0351966873706005E-3</v>
      </c>
      <c r="L231" s="265">
        <f t="shared" si="3"/>
        <v>25</v>
      </c>
      <c r="M231" s="355">
        <f t="shared" si="4"/>
        <v>6.0678138880124264E-4</v>
      </c>
      <c r="N231" s="332"/>
      <c r="O231" s="356"/>
      <c r="P231" s="5"/>
      <c r="Q231" s="104"/>
    </row>
    <row r="232" spans="1:17" ht="15.6" x14ac:dyDescent="0.3">
      <c r="A232" s="262"/>
      <c r="B232" s="264" t="s">
        <v>232</v>
      </c>
      <c r="C232" s="354"/>
      <c r="D232" s="354"/>
      <c r="E232" s="354"/>
      <c r="F232" s="354"/>
      <c r="G232" s="354"/>
      <c r="H232" s="354"/>
      <c r="I232" s="354"/>
      <c r="J232" s="264">
        <f t="shared" si="1"/>
        <v>0</v>
      </c>
      <c r="K232" s="355">
        <f t="shared" si="2"/>
        <v>0</v>
      </c>
      <c r="L232" s="265">
        <f t="shared" si="3"/>
        <v>0</v>
      </c>
      <c r="M232" s="355">
        <f t="shared" si="4"/>
        <v>0</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5.175983436853002E-3</v>
      </c>
      <c r="L233" s="265">
        <f t="shared" si="3"/>
        <v>1286</v>
      </c>
      <c r="M233" s="355">
        <f t="shared" si="4"/>
        <v>3.1212834639935925E-2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966</v>
      </c>
      <c r="K235" s="355">
        <f>SUM(K221:K234)</f>
        <v>1</v>
      </c>
      <c r="L235" s="265">
        <f>SUM(L221:L234)</f>
        <v>41201</v>
      </c>
      <c r="M235" s="355">
        <f>SUM(M221:M234)</f>
        <v>0.99999999999999989</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910</v>
      </c>
      <c r="K238" s="355">
        <f t="shared" ref="K238:K250" si="5">J238/$J$252</f>
        <v>0.94398340248962653</v>
      </c>
      <c r="L238" s="265">
        <v>37705</v>
      </c>
      <c r="M238" s="355">
        <f t="shared" ref="M238:M250" si="6">L238/$L$252</f>
        <v>0.93936072149281247</v>
      </c>
      <c r="N238" s="332"/>
      <c r="O238" s="356"/>
      <c r="P238" s="5"/>
    </row>
    <row r="239" spans="1:17" ht="15.6" x14ac:dyDescent="0.3">
      <c r="A239" s="262"/>
      <c r="B239" s="264" t="s">
        <v>86</v>
      </c>
      <c r="C239" s="354"/>
      <c r="D239" s="354"/>
      <c r="E239" s="354"/>
      <c r="F239" s="354"/>
      <c r="G239" s="354"/>
      <c r="H239" s="354"/>
      <c r="I239" s="354"/>
      <c r="J239" s="264">
        <v>16</v>
      </c>
      <c r="K239" s="355">
        <f t="shared" si="5"/>
        <v>1.6597510373443983E-2</v>
      </c>
      <c r="L239" s="265">
        <v>800</v>
      </c>
      <c r="M239" s="355">
        <f t="shared" si="6"/>
        <v>1.9930740676150378E-2</v>
      </c>
      <c r="N239" s="332"/>
      <c r="O239" s="356"/>
      <c r="P239" s="5"/>
      <c r="Q239" s="104"/>
    </row>
    <row r="240" spans="1:17" ht="15.6" x14ac:dyDescent="0.3">
      <c r="A240" s="262"/>
      <c r="B240" s="264" t="s">
        <v>87</v>
      </c>
      <c r="C240" s="354"/>
      <c r="D240" s="354"/>
      <c r="E240" s="354"/>
      <c r="F240" s="354"/>
      <c r="G240" s="354"/>
      <c r="H240" s="354"/>
      <c r="I240" s="354"/>
      <c r="J240" s="264">
        <v>12</v>
      </c>
      <c r="K240" s="355">
        <f t="shared" si="5"/>
        <v>1.2448132780082987E-2</v>
      </c>
      <c r="L240" s="265">
        <v>433</v>
      </c>
      <c r="M240" s="355">
        <f t="shared" si="6"/>
        <v>1.0787513390966392E-2</v>
      </c>
      <c r="N240" s="332"/>
      <c r="O240" s="356"/>
      <c r="P240" s="5"/>
    </row>
    <row r="241" spans="1:17" ht="15.6" x14ac:dyDescent="0.3">
      <c r="A241" s="262"/>
      <c r="B241" s="264" t="s">
        <v>145</v>
      </c>
      <c r="C241" s="354"/>
      <c r="D241" s="354"/>
      <c r="E241" s="354"/>
      <c r="F241" s="354"/>
      <c r="G241" s="354"/>
      <c r="H241" s="354"/>
      <c r="I241" s="354"/>
      <c r="J241" s="264">
        <v>5</v>
      </c>
      <c r="K241" s="355">
        <f t="shared" si="5"/>
        <v>5.1867219917012446E-3</v>
      </c>
      <c r="L241" s="265">
        <v>178</v>
      </c>
      <c r="M241" s="355">
        <f t="shared" si="6"/>
        <v>4.434589800443459E-3</v>
      </c>
      <c r="N241" s="332"/>
      <c r="O241" s="356"/>
      <c r="P241" s="5"/>
      <c r="Q241" s="104"/>
    </row>
    <row r="242" spans="1:17" ht="15.6" x14ac:dyDescent="0.3">
      <c r="A242" s="262"/>
      <c r="B242" s="264" t="s">
        <v>146</v>
      </c>
      <c r="C242" s="354"/>
      <c r="D242" s="354"/>
      <c r="E242" s="354"/>
      <c r="F242" s="354"/>
      <c r="G242" s="354"/>
      <c r="H242" s="354"/>
      <c r="I242" s="354"/>
      <c r="J242" s="264">
        <v>1</v>
      </c>
      <c r="K242" s="355">
        <f t="shared" si="5"/>
        <v>1.037344398340249E-3</v>
      </c>
      <c r="L242" s="265">
        <v>29</v>
      </c>
      <c r="M242" s="355">
        <f t="shared" si="6"/>
        <v>7.2248934951045117E-4</v>
      </c>
      <c r="N242" s="332"/>
      <c r="O242" s="356"/>
      <c r="P242" s="5"/>
    </row>
    <row r="243" spans="1:17" ht="15.6" x14ac:dyDescent="0.3">
      <c r="A243" s="262"/>
      <c r="B243" s="264" t="s">
        <v>147</v>
      </c>
      <c r="C243" s="354"/>
      <c r="D243" s="354"/>
      <c r="E243" s="354"/>
      <c r="F243" s="354"/>
      <c r="G243" s="354"/>
      <c r="H243" s="354"/>
      <c r="I243" s="354"/>
      <c r="J243" s="264">
        <v>2</v>
      </c>
      <c r="K243" s="355">
        <f t="shared" si="5"/>
        <v>2.0746887966804979E-3</v>
      </c>
      <c r="L243" s="265">
        <v>64</v>
      </c>
      <c r="M243" s="355">
        <f t="shared" si="6"/>
        <v>1.5944592540920303E-3</v>
      </c>
      <c r="N243" s="332"/>
      <c r="O243" s="356"/>
      <c r="P243" s="5"/>
      <c r="Q243" s="104"/>
    </row>
    <row r="244" spans="1:17" ht="15.6" x14ac:dyDescent="0.3">
      <c r="A244" s="262"/>
      <c r="B244" s="264" t="s">
        <v>227</v>
      </c>
      <c r="C244" s="354"/>
      <c r="D244" s="354"/>
      <c r="E244" s="354"/>
      <c r="F244" s="354"/>
      <c r="G244" s="354"/>
      <c r="H244" s="354"/>
      <c r="I244" s="354"/>
      <c r="J244" s="264">
        <v>5</v>
      </c>
      <c r="K244" s="355">
        <f t="shared" si="5"/>
        <v>5.1867219917012446E-3</v>
      </c>
      <c r="L244" s="265">
        <v>199</v>
      </c>
      <c r="M244" s="355">
        <f t="shared" si="6"/>
        <v>4.9577717431924066E-3</v>
      </c>
      <c r="N244" s="332"/>
      <c r="O244" s="356"/>
      <c r="P244" s="5"/>
    </row>
    <row r="245" spans="1:17" ht="15.6" x14ac:dyDescent="0.3">
      <c r="A245" s="262"/>
      <c r="B245" s="264" t="s">
        <v>228</v>
      </c>
      <c r="C245" s="354"/>
      <c r="D245" s="354"/>
      <c r="E245" s="354"/>
      <c r="F245" s="354"/>
      <c r="G245" s="354"/>
      <c r="H245" s="354"/>
      <c r="I245" s="354"/>
      <c r="J245" s="264">
        <v>2</v>
      </c>
      <c r="K245" s="355">
        <f t="shared" si="5"/>
        <v>2.0746887966804979E-3</v>
      </c>
      <c r="L245" s="265">
        <v>172</v>
      </c>
      <c r="M245" s="355">
        <f t="shared" si="6"/>
        <v>4.2851092453723314E-3</v>
      </c>
      <c r="N245" s="332"/>
      <c r="O245" s="356"/>
      <c r="P245" s="5"/>
      <c r="Q245" s="104"/>
    </row>
    <row r="246" spans="1:17" ht="15.6" x14ac:dyDescent="0.3">
      <c r="A246" s="262"/>
      <c r="B246" s="264" t="s">
        <v>229</v>
      </c>
      <c r="C246" s="354"/>
      <c r="D246" s="354"/>
      <c r="E246" s="354"/>
      <c r="F246" s="354"/>
      <c r="G246" s="354"/>
      <c r="H246" s="354"/>
      <c r="I246" s="354"/>
      <c r="J246" s="264">
        <v>2</v>
      </c>
      <c r="K246" s="355">
        <f t="shared" si="5"/>
        <v>2.0746887966804979E-3</v>
      </c>
      <c r="L246" s="265">
        <v>63</v>
      </c>
      <c r="M246" s="355">
        <f t="shared" si="6"/>
        <v>1.5695458282468423E-3</v>
      </c>
      <c r="N246" s="332"/>
      <c r="O246" s="356"/>
      <c r="P246" s="5"/>
      <c r="Q246" s="104"/>
    </row>
    <row r="247" spans="1:17" ht="15.6" x14ac:dyDescent="0.3">
      <c r="A247" s="262"/>
      <c r="B247" s="264" t="s">
        <v>230</v>
      </c>
      <c r="C247" s="354"/>
      <c r="D247" s="354"/>
      <c r="E247" s="354"/>
      <c r="F247" s="354"/>
      <c r="G247" s="354"/>
      <c r="H247" s="354"/>
      <c r="I247" s="354"/>
      <c r="J247" s="264">
        <v>4</v>
      </c>
      <c r="K247" s="355">
        <f t="shared" si="5"/>
        <v>4.1493775933609959E-3</v>
      </c>
      <c r="L247" s="265">
        <v>175</v>
      </c>
      <c r="M247" s="355">
        <f t="shared" si="6"/>
        <v>4.3598495229078948E-3</v>
      </c>
      <c r="N247" s="332"/>
      <c r="O247" s="356"/>
      <c r="P247" s="5"/>
      <c r="Q247" s="104"/>
    </row>
    <row r="248" spans="1:17" ht="15.6" x14ac:dyDescent="0.3">
      <c r="A248" s="262"/>
      <c r="B248" s="264" t="s">
        <v>231</v>
      </c>
      <c r="C248" s="354"/>
      <c r="D248" s="354"/>
      <c r="E248" s="354"/>
      <c r="F248" s="354"/>
      <c r="G248" s="354"/>
      <c r="H248" s="354"/>
      <c r="I248" s="354"/>
      <c r="J248" s="264">
        <v>1</v>
      </c>
      <c r="K248" s="355">
        <f t="shared" si="5"/>
        <v>1.037344398340249E-3</v>
      </c>
      <c r="L248" s="265">
        <v>25</v>
      </c>
      <c r="M248" s="355">
        <f t="shared" si="6"/>
        <v>6.228356461296993E-4</v>
      </c>
      <c r="N248" s="332"/>
      <c r="O248" s="356"/>
      <c r="P248" s="5"/>
      <c r="Q248" s="104"/>
    </row>
    <row r="249" spans="1:17" ht="15.6" x14ac:dyDescent="0.3">
      <c r="A249" s="262"/>
      <c r="B249" s="264" t="s">
        <v>232</v>
      </c>
      <c r="C249" s="354"/>
      <c r="D249" s="354"/>
      <c r="E249" s="354"/>
      <c r="F249" s="354"/>
      <c r="G249" s="354"/>
      <c r="H249" s="354"/>
      <c r="I249" s="354"/>
      <c r="J249" s="264">
        <v>0</v>
      </c>
      <c r="K249" s="355">
        <f t="shared" si="5"/>
        <v>0</v>
      </c>
      <c r="L249" s="265">
        <v>0</v>
      </c>
      <c r="M249" s="355">
        <f t="shared" si="6"/>
        <v>0</v>
      </c>
      <c r="N249" s="332"/>
      <c r="O249" s="356"/>
      <c r="P249" s="5"/>
      <c r="Q249" s="104"/>
    </row>
    <row r="250" spans="1:17" ht="15.6" x14ac:dyDescent="0.3">
      <c r="A250" s="262"/>
      <c r="B250" s="264" t="s">
        <v>233</v>
      </c>
      <c r="C250" s="354"/>
      <c r="D250" s="354"/>
      <c r="E250" s="354"/>
      <c r="F250" s="354"/>
      <c r="G250" s="354"/>
      <c r="H250" s="354"/>
      <c r="I250" s="354"/>
      <c r="J250" s="264">
        <v>4</v>
      </c>
      <c r="K250" s="355">
        <f t="shared" si="5"/>
        <v>4.1493775933609959E-3</v>
      </c>
      <c r="L250" s="265">
        <v>296</v>
      </c>
      <c r="M250" s="355">
        <f t="shared" si="6"/>
        <v>7.3743740501756401E-3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964</v>
      </c>
      <c r="K252" s="355">
        <f>SUM(K238:K251)</f>
        <v>0.99999999999999989</v>
      </c>
      <c r="L252" s="265">
        <f>SUM(L238:L251)</f>
        <v>40139</v>
      </c>
      <c r="M252" s="355">
        <f>SUM(M238:M251)</f>
        <v>1.0000000000000002</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1</v>
      </c>
      <c r="K279" s="355">
        <f t="shared" si="7"/>
        <v>0.5</v>
      </c>
      <c r="L279" s="265">
        <v>72</v>
      </c>
      <c r="M279" s="355">
        <f t="shared" si="8"/>
        <v>6.7796610169491525E-2</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0.5</v>
      </c>
      <c r="L284" s="265">
        <v>990</v>
      </c>
      <c r="M284" s="355">
        <f t="shared" si="8"/>
        <v>0.93220338983050843</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2</v>
      </c>
      <c r="K286" s="355">
        <f>SUM(K272:K284)</f>
        <v>1</v>
      </c>
      <c r="L286" s="265">
        <f>SUM(L272:L284)</f>
        <v>1062</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966</v>
      </c>
      <c r="K288" s="355"/>
      <c r="L288" s="359">
        <f>+L286+L269+L252</f>
        <v>41201</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AUGUST 2014</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V299"/>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0.1014</v>
      </c>
      <c r="L16" s="232" t="s">
        <v>133</v>
      </c>
      <c r="M16" s="231">
        <v>0.89859999999999995</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41992</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38004.188699999999</v>
      </c>
      <c r="E29" s="279"/>
      <c r="F29" s="279">
        <f>F28*F32</f>
        <v>1598.20047</v>
      </c>
      <c r="G29" s="279"/>
      <c r="H29" s="279">
        <f>H28*H32</f>
        <v>1598.20047</v>
      </c>
      <c r="I29" s="279"/>
      <c r="J29" s="284"/>
      <c r="K29" s="279"/>
      <c r="L29" s="279"/>
      <c r="M29" s="280"/>
      <c r="N29" s="279">
        <f>SUM(D29:H29)</f>
        <v>41200.589640000006</v>
      </c>
      <c r="O29" s="281"/>
      <c r="P29" s="5"/>
    </row>
    <row r="30" spans="1:16" ht="15.6" x14ac:dyDescent="0.3">
      <c r="A30" s="274"/>
      <c r="B30" s="275" t="s">
        <v>130</v>
      </c>
      <c r="C30" s="278"/>
      <c r="D30" s="285">
        <f>D28*D31</f>
        <v>34456.334999999999</v>
      </c>
      <c r="E30" s="285"/>
      <c r="F30" s="285">
        <f>F28*F31</f>
        <v>1598.20047</v>
      </c>
      <c r="G30" s="285"/>
      <c r="H30" s="285">
        <f>H28*H31</f>
        <v>1598.20047</v>
      </c>
      <c r="I30" s="285"/>
      <c r="J30" s="288"/>
      <c r="K30" s="279"/>
      <c r="L30" s="279"/>
      <c r="M30" s="280"/>
      <c r="N30" s="285">
        <f>SUM(D30:I30)</f>
        <v>37652.735940000006</v>
      </c>
      <c r="O30" s="281"/>
      <c r="P30" s="5"/>
    </row>
    <row r="31" spans="1:16" ht="15.6" x14ac:dyDescent="0.3">
      <c r="A31" s="262"/>
      <c r="B31" s="290" t="s">
        <v>126</v>
      </c>
      <c r="C31" s="291"/>
      <c r="D31" s="292">
        <v>0.13227</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0.1458894</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8.0338000000000007E-3</v>
      </c>
      <c r="E34" s="297"/>
      <c r="F34" s="298">
        <v>9.2338000000000003E-3</v>
      </c>
      <c r="G34" s="297"/>
      <c r="H34" s="298">
        <v>1.12338E-2</v>
      </c>
      <c r="I34" s="297"/>
      <c r="J34" s="298"/>
      <c r="K34" s="297"/>
      <c r="L34" s="298"/>
      <c r="M34" s="268"/>
      <c r="N34" s="297">
        <f>SUMPRODUCT(D34:H34,D29:H29)/N29</f>
        <v>8.2044791608917363E-3</v>
      </c>
      <c r="O34" s="266"/>
      <c r="P34" s="5"/>
    </row>
    <row r="35" spans="1:17" ht="15.6" x14ac:dyDescent="0.3">
      <c r="A35" s="274"/>
      <c r="B35" s="263" t="s">
        <v>11</v>
      </c>
      <c r="C35" s="263"/>
      <c r="D35" s="298">
        <v>7.9813000000000002E-3</v>
      </c>
      <c r="E35" s="297"/>
      <c r="F35" s="298">
        <v>9.1812999999999999E-3</v>
      </c>
      <c r="G35" s="297"/>
      <c r="H35" s="298">
        <v>1.11813E-2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9.2766713000671727E-2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41988</v>
      </c>
      <c r="O45" s="266"/>
      <c r="P45" s="5"/>
    </row>
    <row r="46" spans="1:17" ht="15.6" x14ac:dyDescent="0.3">
      <c r="A46" s="274"/>
      <c r="B46" s="263" t="s">
        <v>119</v>
      </c>
      <c r="C46" s="263"/>
      <c r="D46" s="305"/>
      <c r="E46" s="305"/>
      <c r="F46" s="305"/>
      <c r="G46" s="305"/>
      <c r="H46" s="305"/>
      <c r="I46" s="305"/>
      <c r="J46" s="263">
        <f>+N46-L46+1</f>
        <v>91</v>
      </c>
      <c r="K46" s="305"/>
      <c r="L46" s="306">
        <v>41806</v>
      </c>
      <c r="M46" s="307"/>
      <c r="N46" s="306">
        <v>41896</v>
      </c>
      <c r="O46" s="266"/>
      <c r="P46" s="5"/>
    </row>
    <row r="47" spans="1:17" ht="15.6" x14ac:dyDescent="0.3">
      <c r="A47" s="274"/>
      <c r="B47" s="263" t="s">
        <v>120</v>
      </c>
      <c r="C47" s="263"/>
      <c r="D47" s="263"/>
      <c r="E47" s="263"/>
      <c r="F47" s="263"/>
      <c r="G47" s="263"/>
      <c r="H47" s="263"/>
      <c r="I47" s="263"/>
      <c r="J47" s="263">
        <f>+N47-L47+1</f>
        <v>91</v>
      </c>
      <c r="K47" s="263"/>
      <c r="L47" s="306">
        <v>41897</v>
      </c>
      <c r="M47" s="307"/>
      <c r="N47" s="306">
        <v>41987</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41974</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281</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41201</v>
      </c>
      <c r="G56" s="264"/>
      <c r="H56" s="264">
        <v>3548</v>
      </c>
      <c r="I56" s="264"/>
      <c r="J56" s="264">
        <v>0</v>
      </c>
      <c r="K56" s="264"/>
      <c r="L56" s="264">
        <v>0</v>
      </c>
      <c r="M56" s="264"/>
      <c r="N56" s="265">
        <f>+F56-H56+J56-L56</f>
        <v>37653</v>
      </c>
      <c r="O56" s="266"/>
      <c r="P56" s="5"/>
    </row>
    <row r="57" spans="1:16" ht="15.6" x14ac:dyDescent="0.3">
      <c r="A57" s="262"/>
      <c r="B57" s="263" t="s">
        <v>209</v>
      </c>
      <c r="C57" s="264"/>
      <c r="D57" s="264">
        <v>756</v>
      </c>
      <c r="E57" s="264"/>
      <c r="F57" s="265">
        <v>305</v>
      </c>
      <c r="G57" s="264"/>
      <c r="H57" s="264">
        <v>26</v>
      </c>
      <c r="I57" s="264"/>
      <c r="J57" s="264">
        <v>0</v>
      </c>
      <c r="K57" s="264"/>
      <c r="L57" s="264">
        <v>0</v>
      </c>
      <c r="M57" s="264"/>
      <c r="N57" s="265">
        <f>+F57-H57</f>
        <v>279</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41506</v>
      </c>
      <c r="G59" s="264"/>
      <c r="H59" s="264">
        <f>SUM(H56:H58)</f>
        <v>3574</v>
      </c>
      <c r="I59" s="264"/>
      <c r="J59" s="264">
        <f>SUM(J56:J58)</f>
        <v>0</v>
      </c>
      <c r="K59" s="264"/>
      <c r="L59" s="264">
        <f>SUM(L56:L58)</f>
        <v>0</v>
      </c>
      <c r="M59" s="264"/>
      <c r="N59" s="264">
        <f>SUM(N56:N58)</f>
        <v>37932</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-317</v>
      </c>
      <c r="G68" s="264"/>
      <c r="H68" s="264"/>
      <c r="I68" s="264"/>
      <c r="J68" s="264"/>
      <c r="K68" s="264"/>
      <c r="L68" s="264"/>
      <c r="M68" s="264"/>
      <c r="N68" s="265">
        <f>-N57</f>
        <v>-279</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41189</v>
      </c>
      <c r="G72" s="264"/>
      <c r="H72" s="264"/>
      <c r="I72" s="264"/>
      <c r="J72" s="264"/>
      <c r="K72" s="264"/>
      <c r="L72" s="264"/>
      <c r="M72" s="264"/>
      <c r="N72" s="264">
        <f>SUM(N59:N71)</f>
        <v>37653</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41971</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v>3548</v>
      </c>
      <c r="M77" s="263"/>
      <c r="N77" s="265"/>
      <c r="O77" s="266"/>
      <c r="P77" s="5"/>
    </row>
    <row r="78" spans="1:16" ht="15.6" x14ac:dyDescent="0.3">
      <c r="A78" s="262"/>
      <c r="B78" s="263" t="s">
        <v>176</v>
      </c>
      <c r="C78" s="263"/>
      <c r="D78" s="300"/>
      <c r="E78" s="263"/>
      <c r="F78" s="309"/>
      <c r="G78" s="263"/>
      <c r="H78" s="263"/>
      <c r="I78" s="263"/>
      <c r="J78" s="263"/>
      <c r="K78" s="263"/>
      <c r="L78" s="264"/>
      <c r="M78" s="263"/>
      <c r="N78" s="265">
        <f>1135+97+711-834-56-562</f>
        <v>491</v>
      </c>
      <c r="O78" s="266"/>
      <c r="P78" s="5"/>
    </row>
    <row r="79" spans="1:16" ht="15.6" x14ac:dyDescent="0.3">
      <c r="A79" s="262"/>
      <c r="B79" s="263" t="s">
        <v>174</v>
      </c>
      <c r="C79" s="263"/>
      <c r="D79" s="300"/>
      <c r="E79" s="263"/>
      <c r="F79" s="309"/>
      <c r="G79" s="263"/>
      <c r="H79" s="263"/>
      <c r="I79" s="263"/>
      <c r="J79" s="263"/>
      <c r="K79" s="263"/>
      <c r="L79" s="264"/>
      <c r="M79" s="263"/>
      <c r="N79" s="265">
        <f>35+50</f>
        <v>85</v>
      </c>
      <c r="O79" s="266"/>
      <c r="P79" s="5"/>
    </row>
    <row r="80" spans="1:16" ht="15.6" x14ac:dyDescent="0.3">
      <c r="A80" s="262"/>
      <c r="B80" s="263" t="s">
        <v>175</v>
      </c>
      <c r="C80" s="263"/>
      <c r="D80" s="300"/>
      <c r="E80" s="263"/>
      <c r="F80" s="309"/>
      <c r="G80" s="263"/>
      <c r="H80" s="263"/>
      <c r="I80" s="263"/>
      <c r="J80" s="263"/>
      <c r="K80" s="263"/>
      <c r="L80" s="264"/>
      <c r="M80" s="263"/>
      <c r="N80" s="265">
        <v>3</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3548</v>
      </c>
      <c r="M83" s="263"/>
      <c r="N83" s="264">
        <f>SUM(N76:N82)</f>
        <v>579</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3548</v>
      </c>
      <c r="M87" s="263"/>
      <c r="N87" s="264">
        <f>N83+N85+N84+N86</f>
        <v>579</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-16-1-91</f>
        <v>-108</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-76</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0</v>
      </c>
      <c r="M98" s="263"/>
      <c r="N98" s="265">
        <v>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-16</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-362</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-3548</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-3548</v>
      </c>
      <c r="M111" s="264"/>
      <c r="N111" s="264">
        <f>SUM(N88:N109)</f>
        <v>-579</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NOVEMBER 2014</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0</v>
      </c>
      <c r="O144" s="266"/>
      <c r="P144" s="5"/>
    </row>
    <row r="145" spans="1:256" ht="15.6" x14ac:dyDescent="0.3">
      <c r="A145" s="262"/>
      <c r="B145" s="263" t="s">
        <v>51</v>
      </c>
      <c r="C145" s="263"/>
      <c r="D145" s="263"/>
      <c r="E145" s="263"/>
      <c r="F145" s="263"/>
      <c r="G145" s="263"/>
      <c r="H145" s="263"/>
      <c r="I145" s="263"/>
      <c r="J145" s="263"/>
      <c r="K145" s="263"/>
      <c r="L145" s="263"/>
      <c r="M145" s="263"/>
      <c r="N145" s="265">
        <f>+N143+N144</f>
        <v>0</v>
      </c>
      <c r="O145" s="266"/>
      <c r="P145" s="5"/>
    </row>
    <row r="146" spans="1:256" ht="15.6" x14ac:dyDescent="0.3">
      <c r="A146" s="262"/>
      <c r="B146" s="263" t="s">
        <v>264</v>
      </c>
      <c r="C146" s="263"/>
      <c r="D146" s="263"/>
      <c r="E146" s="263"/>
      <c r="F146" s="263"/>
      <c r="G146" s="263"/>
      <c r="H146" s="263"/>
      <c r="I146" s="263"/>
      <c r="J146" s="263"/>
      <c r="K146" s="263"/>
      <c r="L146" s="263"/>
      <c r="M146" s="263"/>
      <c r="N146" s="265">
        <f>N98</f>
        <v>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37653</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37653</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+'August 14'!N161</f>
        <v>305</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26</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279</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+'August 14'!L168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6.1710526315789478</v>
      </c>
      <c r="O173" s="266" t="s">
        <v>115</v>
      </c>
      <c r="P173" s="5"/>
    </row>
    <row r="174" spans="1:256" ht="15.6" x14ac:dyDescent="0.3">
      <c r="A174" s="262"/>
      <c r="B174" s="263" t="s">
        <v>63</v>
      </c>
      <c r="C174" s="263"/>
      <c r="D174" s="263"/>
      <c r="E174" s="263"/>
      <c r="F174" s="263"/>
      <c r="G174" s="263"/>
      <c r="H174" s="263"/>
      <c r="I174" s="263"/>
      <c r="J174" s="263"/>
      <c r="K174" s="263"/>
      <c r="L174" s="263"/>
      <c r="M174" s="263"/>
      <c r="N174" s="315">
        <v>2.13</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98.25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49.2</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97.25</v>
      </c>
      <c r="O177" s="266" t="s">
        <v>115</v>
      </c>
      <c r="P177" s="5"/>
    </row>
    <row r="178" spans="1:16" ht="15.6" x14ac:dyDescent="0.3">
      <c r="A178" s="262"/>
      <c r="B178" s="263" t="s">
        <v>167</v>
      </c>
      <c r="C178" s="263"/>
      <c r="D178" s="263"/>
      <c r="E178" s="263"/>
      <c r="F178" s="263"/>
      <c r="G178" s="263"/>
      <c r="H178" s="263"/>
      <c r="I178" s="263"/>
      <c r="J178" s="263"/>
      <c r="K178" s="263"/>
      <c r="L178" s="263"/>
      <c r="M178" s="263"/>
      <c r="N178" s="315">
        <v>46.34</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NOVEMBER 2014</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41971</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4.8570000000000002E-2</v>
      </c>
      <c r="M188" s="263"/>
      <c r="N188" s="263"/>
      <c r="O188" s="266"/>
      <c r="P188" s="5"/>
    </row>
    <row r="189" spans="1:16" ht="15.6" x14ac:dyDescent="0.3">
      <c r="A189" s="321"/>
      <c r="B189" s="263" t="s">
        <v>212</v>
      </c>
      <c r="C189" s="322"/>
      <c r="D189" s="303"/>
      <c r="E189" s="303"/>
      <c r="F189" s="303"/>
      <c r="G189" s="303"/>
      <c r="H189" s="303"/>
      <c r="I189" s="303"/>
      <c r="J189" s="303"/>
      <c r="K189" s="303"/>
      <c r="L189" s="297">
        <f>N34</f>
        <v>8.2044791608917363E-3</v>
      </c>
      <c r="M189" s="263"/>
      <c r="N189" s="263"/>
      <c r="O189" s="266"/>
      <c r="P189" s="5"/>
    </row>
    <row r="190" spans="1:16" ht="15.6" x14ac:dyDescent="0.3">
      <c r="A190" s="321"/>
      <c r="B190" s="263" t="s">
        <v>70</v>
      </c>
      <c r="C190" s="322"/>
      <c r="D190" s="303"/>
      <c r="E190" s="303"/>
      <c r="F190" s="303"/>
      <c r="G190" s="303"/>
      <c r="H190" s="303"/>
      <c r="I190" s="303"/>
      <c r="J190" s="303"/>
      <c r="K190" s="303"/>
      <c r="L190" s="297">
        <f>L188-L189</f>
        <v>4.0365520839108264E-2</v>
      </c>
      <c r="M190" s="263"/>
      <c r="N190" s="263"/>
      <c r="O190" s="266"/>
      <c r="P190" s="5"/>
    </row>
    <row r="191" spans="1:16" ht="15.6" x14ac:dyDescent="0.3">
      <c r="A191" s="321"/>
      <c r="B191" s="263" t="s">
        <v>203</v>
      </c>
      <c r="C191" s="322"/>
      <c r="D191" s="303"/>
      <c r="E191" s="303"/>
      <c r="F191" s="303"/>
      <c r="G191" s="303"/>
      <c r="H191" s="303"/>
      <c r="I191" s="303"/>
      <c r="J191" s="303"/>
      <c r="K191" s="303"/>
      <c r="L191" s="297">
        <f>+N87/F59</f>
        <v>1.394979039175059E-2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4.83</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8.6114414698672356E-2</v>
      </c>
      <c r="M197" s="263"/>
      <c r="N197" s="263"/>
      <c r="O197" s="266"/>
      <c r="P197" s="5"/>
    </row>
    <row r="198" spans="1:16" ht="15.6" x14ac:dyDescent="0.3">
      <c r="A198" s="321"/>
      <c r="B198" s="263" t="s">
        <v>74</v>
      </c>
      <c r="C198" s="322"/>
      <c r="D198" s="303"/>
      <c r="E198" s="303"/>
      <c r="F198" s="303"/>
      <c r="G198" s="303"/>
      <c r="H198" s="303"/>
      <c r="I198" s="303"/>
      <c r="J198" s="303"/>
      <c r="K198" s="303"/>
      <c r="L198" s="297">
        <v>0.27110000000000001</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11</v>
      </c>
      <c r="L201" s="331">
        <v>480</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1</v>
      </c>
      <c r="L203" s="331">
        <f>+L286</f>
        <v>990</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0</v>
      </c>
      <c r="M207" s="291"/>
      <c r="N207" s="337"/>
      <c r="O207" s="342"/>
      <c r="P207" s="5"/>
    </row>
    <row r="208" spans="1:16" ht="15.6" x14ac:dyDescent="0.3">
      <c r="A208" s="330"/>
      <c r="B208" s="263" t="s">
        <v>82</v>
      </c>
      <c r="C208" s="264"/>
      <c r="D208" s="263"/>
      <c r="E208" s="263"/>
      <c r="F208" s="263"/>
      <c r="G208" s="263"/>
      <c r="H208" s="263"/>
      <c r="I208" s="263"/>
      <c r="J208" s="263"/>
      <c r="K208" s="276"/>
      <c r="L208" s="331">
        <f>'August 14'!L208+L207</f>
        <v>40</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1</v>
      </c>
      <c r="L210" s="331">
        <v>72</v>
      </c>
      <c r="M210" s="291"/>
      <c r="N210" s="337"/>
      <c r="O210" s="342"/>
      <c r="P210" s="5"/>
    </row>
    <row r="211" spans="1:17" ht="15.6" x14ac:dyDescent="0.3">
      <c r="A211" s="347"/>
      <c r="B211" s="263" t="s">
        <v>83</v>
      </c>
      <c r="C211" s="300"/>
      <c r="D211" s="263"/>
      <c r="E211" s="263"/>
      <c r="F211" s="263"/>
      <c r="G211" s="263"/>
      <c r="H211" s="263"/>
      <c r="I211" s="263"/>
      <c r="J211" s="263"/>
      <c r="K211" s="263"/>
      <c r="L211" s="339">
        <v>11.45</v>
      </c>
      <c r="M211" s="291"/>
      <c r="N211" s="337"/>
      <c r="O211" s="342"/>
      <c r="P211" s="5"/>
    </row>
    <row r="212" spans="1:17" ht="15.6" x14ac:dyDescent="0.3">
      <c r="A212" s="347"/>
      <c r="B212" s="263" t="s">
        <v>84</v>
      </c>
      <c r="C212" s="300"/>
      <c r="D212" s="263"/>
      <c r="E212" s="263"/>
      <c r="F212" s="263"/>
      <c r="G212" s="263"/>
      <c r="H212" s="263"/>
      <c r="I212" s="263"/>
      <c r="J212" s="263"/>
      <c r="K212" s="263"/>
      <c r="L212" s="339">
        <v>5.55</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852</v>
      </c>
      <c r="K221" s="355">
        <f t="shared" ref="K221:K233" si="2">J221/$J$235</f>
        <v>0.95195530726256983</v>
      </c>
      <c r="L221" s="265">
        <f t="shared" ref="L221:L233" si="3">+L238+L255+L272</f>
        <v>34876</v>
      </c>
      <c r="M221" s="355">
        <f t="shared" ref="M221:M233" si="4">L221/$L$235</f>
        <v>0.92624757655432499</v>
      </c>
      <c r="N221" s="332"/>
      <c r="O221" s="356"/>
      <c r="P221" s="5"/>
    </row>
    <row r="222" spans="1:17" ht="15.6" x14ac:dyDescent="0.3">
      <c r="A222" s="262"/>
      <c r="B222" s="264" t="s">
        <v>86</v>
      </c>
      <c r="C222" s="354"/>
      <c r="D222" s="354"/>
      <c r="E222" s="354"/>
      <c r="F222" s="354"/>
      <c r="G222" s="354"/>
      <c r="H222" s="354"/>
      <c r="I222" s="354"/>
      <c r="J222" s="264">
        <f t="shared" si="1"/>
        <v>8</v>
      </c>
      <c r="K222" s="355">
        <f t="shared" si="2"/>
        <v>8.9385474860335188E-3</v>
      </c>
      <c r="L222" s="265">
        <f t="shared" si="3"/>
        <v>342</v>
      </c>
      <c r="M222" s="355">
        <f t="shared" si="4"/>
        <v>9.0829415982790224E-3</v>
      </c>
      <c r="N222" s="332"/>
      <c r="O222" s="356"/>
      <c r="P222" s="5"/>
      <c r="Q222" s="104"/>
    </row>
    <row r="223" spans="1:17" ht="15.6" x14ac:dyDescent="0.3">
      <c r="A223" s="262"/>
      <c r="B223" s="264" t="s">
        <v>87</v>
      </c>
      <c r="C223" s="354"/>
      <c r="D223" s="354"/>
      <c r="E223" s="354"/>
      <c r="F223" s="354"/>
      <c r="G223" s="354"/>
      <c r="H223" s="354"/>
      <c r="I223" s="354"/>
      <c r="J223" s="264">
        <f t="shared" si="1"/>
        <v>8</v>
      </c>
      <c r="K223" s="355">
        <f t="shared" si="2"/>
        <v>8.9385474860335188E-3</v>
      </c>
      <c r="L223" s="265">
        <f t="shared" si="3"/>
        <v>412</v>
      </c>
      <c r="M223" s="355">
        <f t="shared" si="4"/>
        <v>1.0942023211961862E-2</v>
      </c>
      <c r="N223" s="332"/>
      <c r="O223" s="356"/>
      <c r="P223" s="5"/>
    </row>
    <row r="224" spans="1:17" ht="15.6" x14ac:dyDescent="0.3">
      <c r="A224" s="262"/>
      <c r="B224" s="264" t="s">
        <v>145</v>
      </c>
      <c r="C224" s="354"/>
      <c r="D224" s="354"/>
      <c r="E224" s="354"/>
      <c r="F224" s="354"/>
      <c r="G224" s="354"/>
      <c r="H224" s="354"/>
      <c r="I224" s="354"/>
      <c r="J224" s="264">
        <f t="shared" si="1"/>
        <v>2</v>
      </c>
      <c r="K224" s="355">
        <f t="shared" si="2"/>
        <v>2.2346368715083797E-3</v>
      </c>
      <c r="L224" s="265">
        <f t="shared" si="3"/>
        <v>85</v>
      </c>
      <c r="M224" s="355">
        <f t="shared" si="4"/>
        <v>2.2574562451863067E-3</v>
      </c>
      <c r="N224" s="332"/>
      <c r="O224" s="356"/>
      <c r="P224" s="5"/>
      <c r="Q224" s="104"/>
    </row>
    <row r="225" spans="1:17" ht="15.6" x14ac:dyDescent="0.3">
      <c r="A225" s="262"/>
      <c r="B225" s="264" t="s">
        <v>146</v>
      </c>
      <c r="C225" s="354"/>
      <c r="D225" s="354"/>
      <c r="E225" s="354"/>
      <c r="F225" s="354"/>
      <c r="G225" s="354"/>
      <c r="H225" s="354"/>
      <c r="I225" s="354"/>
      <c r="J225" s="264">
        <f t="shared" si="1"/>
        <v>4</v>
      </c>
      <c r="K225" s="355">
        <f t="shared" si="2"/>
        <v>4.4692737430167594E-3</v>
      </c>
      <c r="L225" s="265">
        <f t="shared" si="3"/>
        <v>141</v>
      </c>
      <c r="M225" s="355">
        <f t="shared" si="4"/>
        <v>3.7447215361325792E-3</v>
      </c>
      <c r="N225" s="332"/>
      <c r="O225" s="356"/>
      <c r="P225" s="5"/>
    </row>
    <row r="226" spans="1:17" ht="15.6" x14ac:dyDescent="0.3">
      <c r="A226" s="262"/>
      <c r="B226" s="264" t="s">
        <v>147</v>
      </c>
      <c r="C226" s="354"/>
      <c r="D226" s="354"/>
      <c r="E226" s="354"/>
      <c r="F226" s="354"/>
      <c r="G226" s="354"/>
      <c r="H226" s="354"/>
      <c r="I226" s="354"/>
      <c r="J226" s="264">
        <f t="shared" si="1"/>
        <v>2</v>
      </c>
      <c r="K226" s="355">
        <f t="shared" si="2"/>
        <v>2.2346368715083797E-3</v>
      </c>
      <c r="L226" s="265">
        <f t="shared" si="3"/>
        <v>35</v>
      </c>
      <c r="M226" s="355">
        <f t="shared" si="4"/>
        <v>9.2954080684142036E-4</v>
      </c>
      <c r="N226" s="332"/>
      <c r="O226" s="356"/>
      <c r="P226" s="5"/>
      <c r="Q226" s="104"/>
    </row>
    <row r="227" spans="1:17" ht="15.6" x14ac:dyDescent="0.3">
      <c r="A227" s="262"/>
      <c r="B227" s="264" t="s">
        <v>227</v>
      </c>
      <c r="C227" s="354"/>
      <c r="D227" s="354"/>
      <c r="E227" s="354"/>
      <c r="F227" s="354"/>
      <c r="G227" s="354"/>
      <c r="H227" s="354"/>
      <c r="I227" s="354"/>
      <c r="J227" s="264">
        <f t="shared" si="1"/>
        <v>2</v>
      </c>
      <c r="K227" s="355">
        <f t="shared" si="2"/>
        <v>2.2346368715083797E-3</v>
      </c>
      <c r="L227" s="265">
        <f t="shared" si="3"/>
        <v>39</v>
      </c>
      <c r="M227" s="355">
        <f t="shared" si="4"/>
        <v>1.0357740419090111E-3</v>
      </c>
      <c r="N227" s="332"/>
      <c r="O227" s="356"/>
      <c r="P227" s="5"/>
    </row>
    <row r="228" spans="1:17" ht="15.6" x14ac:dyDescent="0.3">
      <c r="A228" s="262"/>
      <c r="B228" s="264" t="s">
        <v>228</v>
      </c>
      <c r="C228" s="354"/>
      <c r="D228" s="354"/>
      <c r="E228" s="354"/>
      <c r="F228" s="354"/>
      <c r="G228" s="354"/>
      <c r="H228" s="354"/>
      <c r="I228" s="354"/>
      <c r="J228" s="264">
        <f t="shared" si="1"/>
        <v>5</v>
      </c>
      <c r="K228" s="355">
        <f t="shared" si="2"/>
        <v>5.5865921787709499E-3</v>
      </c>
      <c r="L228" s="265">
        <f t="shared" si="3"/>
        <v>185</v>
      </c>
      <c r="M228" s="355">
        <f t="shared" si="4"/>
        <v>4.9132871218760792E-3</v>
      </c>
      <c r="N228" s="332"/>
      <c r="O228" s="356"/>
      <c r="P228" s="5"/>
      <c r="Q228" s="104"/>
    </row>
    <row r="229" spans="1:17" ht="15.6" x14ac:dyDescent="0.3">
      <c r="A229" s="262"/>
      <c r="B229" s="264" t="s">
        <v>229</v>
      </c>
      <c r="C229" s="354"/>
      <c r="D229" s="354"/>
      <c r="E229" s="354"/>
      <c r="F229" s="354"/>
      <c r="G229" s="354"/>
      <c r="H229" s="354"/>
      <c r="I229" s="354"/>
      <c r="J229" s="264">
        <f t="shared" si="1"/>
        <v>3</v>
      </c>
      <c r="K229" s="355">
        <f t="shared" si="2"/>
        <v>3.3519553072625698E-3</v>
      </c>
      <c r="L229" s="265">
        <f t="shared" si="3"/>
        <v>192</v>
      </c>
      <c r="M229" s="355">
        <f t="shared" si="4"/>
        <v>5.0991952832443628E-3</v>
      </c>
      <c r="N229" s="332"/>
      <c r="O229" s="356"/>
      <c r="P229" s="5"/>
      <c r="Q229" s="104"/>
    </row>
    <row r="230" spans="1:17" ht="15.6" x14ac:dyDescent="0.3">
      <c r="A230" s="262"/>
      <c r="B230" s="264" t="s">
        <v>230</v>
      </c>
      <c r="C230" s="354"/>
      <c r="D230" s="354"/>
      <c r="E230" s="354"/>
      <c r="F230" s="354"/>
      <c r="G230" s="354"/>
      <c r="H230" s="354"/>
      <c r="I230" s="354"/>
      <c r="J230" s="264">
        <f t="shared" si="1"/>
        <v>3</v>
      </c>
      <c r="K230" s="355">
        <f t="shared" si="2"/>
        <v>3.3519553072625698E-3</v>
      </c>
      <c r="L230" s="265">
        <f t="shared" si="3"/>
        <v>166</v>
      </c>
      <c r="M230" s="355">
        <f t="shared" si="4"/>
        <v>4.4086792553050223E-3</v>
      </c>
      <c r="N230" s="332"/>
      <c r="O230" s="356"/>
      <c r="P230" s="5"/>
      <c r="Q230" s="104"/>
    </row>
    <row r="231" spans="1:17" ht="15.6" x14ac:dyDescent="0.3">
      <c r="A231" s="262"/>
      <c r="B231" s="264" t="s">
        <v>231</v>
      </c>
      <c r="C231" s="354"/>
      <c r="D231" s="354"/>
      <c r="E231" s="354"/>
      <c r="F231" s="354"/>
      <c r="G231" s="354"/>
      <c r="H231" s="354"/>
      <c r="I231" s="354"/>
      <c r="J231" s="264">
        <f t="shared" si="1"/>
        <v>1</v>
      </c>
      <c r="K231" s="355">
        <f t="shared" si="2"/>
        <v>1.1173184357541898E-3</v>
      </c>
      <c r="L231" s="265">
        <f t="shared" si="3"/>
        <v>25</v>
      </c>
      <c r="M231" s="355">
        <f t="shared" si="4"/>
        <v>6.6395771917244313E-4</v>
      </c>
      <c r="N231" s="332"/>
      <c r="O231" s="356"/>
      <c r="P231" s="5"/>
      <c r="Q231" s="104"/>
    </row>
    <row r="232" spans="1:17" ht="15.6" x14ac:dyDescent="0.3">
      <c r="A232" s="262"/>
      <c r="B232" s="264" t="s">
        <v>232</v>
      </c>
      <c r="C232" s="354"/>
      <c r="D232" s="354"/>
      <c r="E232" s="354"/>
      <c r="F232" s="354"/>
      <c r="G232" s="354"/>
      <c r="H232" s="354"/>
      <c r="I232" s="354"/>
      <c r="J232" s="264">
        <f t="shared" si="1"/>
        <v>0</v>
      </c>
      <c r="K232" s="355">
        <f t="shared" si="2"/>
        <v>0</v>
      </c>
      <c r="L232" s="265">
        <f t="shared" si="3"/>
        <v>0</v>
      </c>
      <c r="M232" s="355">
        <f t="shared" si="4"/>
        <v>0</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5.5865921787709499E-3</v>
      </c>
      <c r="L233" s="265">
        <f t="shared" si="3"/>
        <v>1155</v>
      </c>
      <c r="M233" s="355">
        <f t="shared" si="4"/>
        <v>3.0674846625766871E-2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895</v>
      </c>
      <c r="K235" s="355">
        <f>SUM(K221:K234)</f>
        <v>1.0000000000000002</v>
      </c>
      <c r="L235" s="265">
        <f>SUM(L221:L234)</f>
        <v>37653</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852</v>
      </c>
      <c r="K238" s="355">
        <f t="shared" ref="K238:K250" si="5">J238/$J$252</f>
        <v>0.95302013422818788</v>
      </c>
      <c r="L238" s="265">
        <v>34876</v>
      </c>
      <c r="M238" s="355">
        <f t="shared" ref="M238:M250" si="6">L238/$L$252</f>
        <v>0.95125876223986039</v>
      </c>
      <c r="N238" s="332"/>
      <c r="O238" s="356"/>
      <c r="P238" s="5"/>
    </row>
    <row r="239" spans="1:17" ht="15.6" x14ac:dyDescent="0.3">
      <c r="A239" s="262"/>
      <c r="B239" s="264" t="s">
        <v>86</v>
      </c>
      <c r="C239" s="354"/>
      <c r="D239" s="354"/>
      <c r="E239" s="354"/>
      <c r="F239" s="354"/>
      <c r="G239" s="354"/>
      <c r="H239" s="354"/>
      <c r="I239" s="354"/>
      <c r="J239" s="264">
        <v>8</v>
      </c>
      <c r="K239" s="355">
        <f t="shared" si="5"/>
        <v>8.948545861297539E-3</v>
      </c>
      <c r="L239" s="265">
        <v>342</v>
      </c>
      <c r="M239" s="355">
        <f t="shared" si="6"/>
        <v>9.3282055478275099E-3</v>
      </c>
      <c r="N239" s="332"/>
      <c r="O239" s="356"/>
      <c r="P239" s="5"/>
      <c r="Q239" s="104"/>
    </row>
    <row r="240" spans="1:17" ht="15.6" x14ac:dyDescent="0.3">
      <c r="A240" s="262"/>
      <c r="B240" s="264" t="s">
        <v>87</v>
      </c>
      <c r="C240" s="354"/>
      <c r="D240" s="354"/>
      <c r="E240" s="354"/>
      <c r="F240" s="354"/>
      <c r="G240" s="354"/>
      <c r="H240" s="354"/>
      <c r="I240" s="354"/>
      <c r="J240" s="264">
        <v>8</v>
      </c>
      <c r="K240" s="355">
        <f t="shared" si="5"/>
        <v>8.948545861297539E-3</v>
      </c>
      <c r="L240" s="265">
        <v>412</v>
      </c>
      <c r="M240" s="355">
        <f t="shared" si="6"/>
        <v>1.1237487385102147E-2</v>
      </c>
      <c r="N240" s="332"/>
      <c r="O240" s="356"/>
      <c r="P240" s="5"/>
    </row>
    <row r="241" spans="1:17" ht="15.6" x14ac:dyDescent="0.3">
      <c r="A241" s="262"/>
      <c r="B241" s="264" t="s">
        <v>145</v>
      </c>
      <c r="C241" s="354"/>
      <c r="D241" s="354"/>
      <c r="E241" s="354"/>
      <c r="F241" s="354"/>
      <c r="G241" s="354"/>
      <c r="H241" s="354"/>
      <c r="I241" s="354"/>
      <c r="J241" s="264">
        <v>2</v>
      </c>
      <c r="K241" s="355">
        <f t="shared" si="5"/>
        <v>2.2371364653243847E-3</v>
      </c>
      <c r="L241" s="265">
        <v>85</v>
      </c>
      <c r="M241" s="355">
        <f t="shared" si="6"/>
        <v>2.3184136595477728E-3</v>
      </c>
      <c r="N241" s="332"/>
      <c r="O241" s="356"/>
      <c r="P241" s="5"/>
      <c r="Q241" s="104"/>
    </row>
    <row r="242" spans="1:17" ht="15.6" x14ac:dyDescent="0.3">
      <c r="A242" s="262"/>
      <c r="B242" s="264" t="s">
        <v>146</v>
      </c>
      <c r="C242" s="354"/>
      <c r="D242" s="354"/>
      <c r="E242" s="354"/>
      <c r="F242" s="354"/>
      <c r="G242" s="354"/>
      <c r="H242" s="354"/>
      <c r="I242" s="354"/>
      <c r="J242" s="264">
        <v>4</v>
      </c>
      <c r="K242" s="355">
        <f t="shared" si="5"/>
        <v>4.4742729306487695E-3</v>
      </c>
      <c r="L242" s="265">
        <v>141</v>
      </c>
      <c r="M242" s="355">
        <f t="shared" si="6"/>
        <v>3.8458391293674822E-3</v>
      </c>
      <c r="N242" s="332"/>
      <c r="O242" s="356"/>
      <c r="P242" s="5"/>
    </row>
    <row r="243" spans="1:17" ht="15.6" x14ac:dyDescent="0.3">
      <c r="A243" s="262"/>
      <c r="B243" s="264" t="s">
        <v>147</v>
      </c>
      <c r="C243" s="354"/>
      <c r="D243" s="354"/>
      <c r="E243" s="354"/>
      <c r="F243" s="354"/>
      <c r="G243" s="354"/>
      <c r="H243" s="354"/>
      <c r="I243" s="354"/>
      <c r="J243" s="264">
        <v>2</v>
      </c>
      <c r="K243" s="355">
        <f t="shared" si="5"/>
        <v>2.2371364653243847E-3</v>
      </c>
      <c r="L243" s="265">
        <v>35</v>
      </c>
      <c r="M243" s="355">
        <f t="shared" si="6"/>
        <v>9.5464091863731832E-4</v>
      </c>
      <c r="N243" s="332"/>
      <c r="O243" s="356"/>
      <c r="P243" s="5"/>
      <c r="Q243" s="104"/>
    </row>
    <row r="244" spans="1:17" ht="15.6" x14ac:dyDescent="0.3">
      <c r="A244" s="262"/>
      <c r="B244" s="264" t="s">
        <v>227</v>
      </c>
      <c r="C244" s="354"/>
      <c r="D244" s="354"/>
      <c r="E244" s="354"/>
      <c r="F244" s="354"/>
      <c r="G244" s="354"/>
      <c r="H244" s="354"/>
      <c r="I244" s="354"/>
      <c r="J244" s="264">
        <v>2</v>
      </c>
      <c r="K244" s="355">
        <f t="shared" si="5"/>
        <v>2.2371364653243847E-3</v>
      </c>
      <c r="L244" s="265">
        <v>39</v>
      </c>
      <c r="M244" s="355">
        <f t="shared" si="6"/>
        <v>1.0637427379101548E-3</v>
      </c>
      <c r="N244" s="332"/>
      <c r="O244" s="356"/>
      <c r="P244" s="5"/>
    </row>
    <row r="245" spans="1:17" ht="15.6" x14ac:dyDescent="0.3">
      <c r="A245" s="262"/>
      <c r="B245" s="264" t="s">
        <v>228</v>
      </c>
      <c r="C245" s="354"/>
      <c r="D245" s="354"/>
      <c r="E245" s="354"/>
      <c r="F245" s="354"/>
      <c r="G245" s="354"/>
      <c r="H245" s="354"/>
      <c r="I245" s="354"/>
      <c r="J245" s="264">
        <v>5</v>
      </c>
      <c r="K245" s="355">
        <f t="shared" si="5"/>
        <v>5.5928411633109623E-3</v>
      </c>
      <c r="L245" s="265">
        <v>185</v>
      </c>
      <c r="M245" s="355">
        <f t="shared" si="6"/>
        <v>5.0459591413686824E-3</v>
      </c>
      <c r="N245" s="332"/>
      <c r="O245" s="356"/>
      <c r="P245" s="5"/>
      <c r="Q245" s="104"/>
    </row>
    <row r="246" spans="1:17" ht="15.6" x14ac:dyDescent="0.3">
      <c r="A246" s="262"/>
      <c r="B246" s="264" t="s">
        <v>229</v>
      </c>
      <c r="C246" s="354"/>
      <c r="D246" s="354"/>
      <c r="E246" s="354"/>
      <c r="F246" s="354"/>
      <c r="G246" s="354"/>
      <c r="H246" s="354"/>
      <c r="I246" s="354"/>
      <c r="J246" s="264">
        <v>3</v>
      </c>
      <c r="K246" s="355">
        <f t="shared" si="5"/>
        <v>3.3557046979865771E-3</v>
      </c>
      <c r="L246" s="265">
        <v>192</v>
      </c>
      <c r="M246" s="355">
        <f t="shared" si="6"/>
        <v>5.2368873250961461E-3</v>
      </c>
      <c r="N246" s="332"/>
      <c r="O246" s="356"/>
      <c r="P246" s="5"/>
      <c r="Q246" s="104"/>
    </row>
    <row r="247" spans="1:17" ht="15.6" x14ac:dyDescent="0.3">
      <c r="A247" s="262"/>
      <c r="B247" s="264" t="s">
        <v>230</v>
      </c>
      <c r="C247" s="354"/>
      <c r="D247" s="354"/>
      <c r="E247" s="354"/>
      <c r="F247" s="354"/>
      <c r="G247" s="354"/>
      <c r="H247" s="354"/>
      <c r="I247" s="354"/>
      <c r="J247" s="264">
        <v>3</v>
      </c>
      <c r="K247" s="355">
        <f t="shared" si="5"/>
        <v>3.3557046979865771E-3</v>
      </c>
      <c r="L247" s="265">
        <v>166</v>
      </c>
      <c r="M247" s="355">
        <f t="shared" si="6"/>
        <v>4.5277254998227099E-3</v>
      </c>
      <c r="N247" s="332"/>
      <c r="O247" s="356"/>
      <c r="P247" s="5"/>
      <c r="Q247" s="104"/>
    </row>
    <row r="248" spans="1:17" ht="15.6" x14ac:dyDescent="0.3">
      <c r="A248" s="262"/>
      <c r="B248" s="264" t="s">
        <v>231</v>
      </c>
      <c r="C248" s="354"/>
      <c r="D248" s="354"/>
      <c r="E248" s="354"/>
      <c r="F248" s="354"/>
      <c r="G248" s="354"/>
      <c r="H248" s="354"/>
      <c r="I248" s="354"/>
      <c r="J248" s="264">
        <v>1</v>
      </c>
      <c r="K248" s="355">
        <f t="shared" si="5"/>
        <v>1.1185682326621924E-3</v>
      </c>
      <c r="L248" s="265">
        <v>25</v>
      </c>
      <c r="M248" s="355">
        <f t="shared" si="6"/>
        <v>6.818863704552273E-4</v>
      </c>
      <c r="N248" s="332"/>
      <c r="O248" s="356"/>
      <c r="P248" s="5"/>
      <c r="Q248" s="104"/>
    </row>
    <row r="249" spans="1:17" ht="15.6" x14ac:dyDescent="0.3">
      <c r="A249" s="262"/>
      <c r="B249" s="264" t="s">
        <v>232</v>
      </c>
      <c r="C249" s="354"/>
      <c r="D249" s="354"/>
      <c r="E249" s="354"/>
      <c r="F249" s="354"/>
      <c r="G249" s="354"/>
      <c r="H249" s="354"/>
      <c r="I249" s="354"/>
      <c r="J249" s="264">
        <v>0</v>
      </c>
      <c r="K249" s="355">
        <f t="shared" si="5"/>
        <v>0</v>
      </c>
      <c r="L249" s="265">
        <v>0</v>
      </c>
      <c r="M249" s="355">
        <f t="shared" si="6"/>
        <v>0</v>
      </c>
      <c r="N249" s="332"/>
      <c r="O249" s="356"/>
      <c r="P249" s="5"/>
      <c r="Q249" s="104"/>
    </row>
    <row r="250" spans="1:17" ht="15.6" x14ac:dyDescent="0.3">
      <c r="A250" s="262"/>
      <c r="B250" s="264" t="s">
        <v>233</v>
      </c>
      <c r="C250" s="354"/>
      <c r="D250" s="354"/>
      <c r="E250" s="354"/>
      <c r="F250" s="354"/>
      <c r="G250" s="354"/>
      <c r="H250" s="354"/>
      <c r="I250" s="354"/>
      <c r="J250" s="264">
        <v>4</v>
      </c>
      <c r="K250" s="355">
        <f t="shared" si="5"/>
        <v>4.4742729306487695E-3</v>
      </c>
      <c r="L250" s="265">
        <v>165</v>
      </c>
      <c r="M250" s="355">
        <f t="shared" si="6"/>
        <v>4.5004500450045006E-3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894</v>
      </c>
      <c r="K252" s="355">
        <f>SUM(K238:K251)</f>
        <v>1.0000000000000002</v>
      </c>
      <c r="L252" s="265">
        <f>SUM(L238:L251)</f>
        <v>36663</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1</v>
      </c>
      <c r="L284" s="265">
        <v>990</v>
      </c>
      <c r="M284" s="355">
        <f t="shared" si="8"/>
        <v>1</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1</v>
      </c>
      <c r="K286" s="355">
        <f>SUM(K272:K284)</f>
        <v>1</v>
      </c>
      <c r="L286" s="265">
        <f>SUM(L272:L284)</f>
        <v>990</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895</v>
      </c>
      <c r="K288" s="355"/>
      <c r="L288" s="359">
        <f>+L286+L269+L252</f>
        <v>37653</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NOVEMBER 2014</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31" orientation="landscape" r:id="rId1"/>
  <headerFooter alignWithMargins="0"/>
  <rowBreaks count="3" manualBreakCount="3">
    <brk id="52" max="15" man="1"/>
    <brk id="115" max="15" man="1"/>
    <brk id="182" max="14"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299"/>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0.10539999999999999</v>
      </c>
      <c r="L16" s="232" t="s">
        <v>133</v>
      </c>
      <c r="M16" s="231">
        <v>0.89459999999999995</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42086</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34456.334999999999</v>
      </c>
      <c r="E29" s="279"/>
      <c r="F29" s="279">
        <f>F28*F32</f>
        <v>1598.20047</v>
      </c>
      <c r="G29" s="279"/>
      <c r="H29" s="279">
        <f>H28*H32</f>
        <v>1598.20047</v>
      </c>
      <c r="I29" s="279"/>
      <c r="J29" s="284"/>
      <c r="K29" s="279"/>
      <c r="L29" s="279"/>
      <c r="M29" s="280"/>
      <c r="N29" s="279">
        <f>SUM(D29:H29)</f>
        <v>37652.735940000006</v>
      </c>
      <c r="O29" s="281"/>
      <c r="P29" s="5"/>
    </row>
    <row r="30" spans="1:16" ht="15.6" x14ac:dyDescent="0.3">
      <c r="A30" s="274"/>
      <c r="B30" s="275" t="s">
        <v>130</v>
      </c>
      <c r="C30" s="278"/>
      <c r="D30" s="285">
        <f>D28*D31</f>
        <v>32015.293700000002</v>
      </c>
      <c r="E30" s="285"/>
      <c r="F30" s="285">
        <f>F28*F31</f>
        <v>1598.20047</v>
      </c>
      <c r="G30" s="285"/>
      <c r="H30" s="285">
        <f>H28*H31</f>
        <v>1598.20047</v>
      </c>
      <c r="I30" s="285"/>
      <c r="J30" s="288"/>
      <c r="K30" s="279"/>
      <c r="L30" s="279"/>
      <c r="M30" s="280"/>
      <c r="N30" s="285">
        <f>SUM(D30:I30)</f>
        <v>35211.694640000009</v>
      </c>
      <c r="O30" s="281"/>
      <c r="P30" s="5"/>
    </row>
    <row r="31" spans="1:16" ht="15.6" x14ac:dyDescent="0.3">
      <c r="A31" s="262"/>
      <c r="B31" s="290" t="s">
        <v>126</v>
      </c>
      <c r="C31" s="291"/>
      <c r="D31" s="292">
        <v>0.12289940000000001</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0.13227</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8.0024999999999992E-3</v>
      </c>
      <c r="E34" s="297"/>
      <c r="F34" s="298">
        <v>9.2025000000000006E-3</v>
      </c>
      <c r="G34" s="297"/>
      <c r="H34" s="298">
        <v>1.1202500000000001E-2</v>
      </c>
      <c r="I34" s="297"/>
      <c r="J34" s="298"/>
      <c r="K34" s="297"/>
      <c r="L34" s="298"/>
      <c r="M34" s="268"/>
      <c r="N34" s="297">
        <f>SUMPRODUCT(D34:H34,D29:H29)/N29</f>
        <v>8.1892615165921976E-3</v>
      </c>
      <c r="O34" s="266"/>
      <c r="P34" s="5"/>
    </row>
    <row r="35" spans="1:17" ht="15.6" x14ac:dyDescent="0.3">
      <c r="A35" s="274"/>
      <c r="B35" s="263" t="s">
        <v>11</v>
      </c>
      <c r="C35" s="263"/>
      <c r="D35" s="298">
        <v>8.0338000000000007E-3</v>
      </c>
      <c r="E35" s="297"/>
      <c r="F35" s="298">
        <v>9.2338000000000003E-3</v>
      </c>
      <c r="G35" s="297"/>
      <c r="H35" s="298">
        <v>1.12338E-2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9.9839813120315049E-2</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42079</v>
      </c>
      <c r="O45" s="266"/>
      <c r="P45" s="5"/>
    </row>
    <row r="46" spans="1:17" ht="15.6" x14ac:dyDescent="0.3">
      <c r="A46" s="274"/>
      <c r="B46" s="263" t="s">
        <v>119</v>
      </c>
      <c r="C46" s="263"/>
      <c r="D46" s="305"/>
      <c r="E46" s="305"/>
      <c r="F46" s="305"/>
      <c r="G46" s="305"/>
      <c r="H46" s="305"/>
      <c r="I46" s="305"/>
      <c r="J46" s="263">
        <f>+N46-L46+1</f>
        <v>91</v>
      </c>
      <c r="K46" s="305"/>
      <c r="L46" s="306">
        <v>41897</v>
      </c>
      <c r="M46" s="307"/>
      <c r="N46" s="306">
        <v>41987</v>
      </c>
      <c r="O46" s="266"/>
      <c r="P46" s="5"/>
    </row>
    <row r="47" spans="1:17" ht="15.6" x14ac:dyDescent="0.3">
      <c r="A47" s="274"/>
      <c r="B47" s="263" t="s">
        <v>120</v>
      </c>
      <c r="C47" s="263"/>
      <c r="D47" s="263"/>
      <c r="E47" s="263"/>
      <c r="F47" s="263"/>
      <c r="G47" s="263"/>
      <c r="H47" s="263"/>
      <c r="I47" s="263"/>
      <c r="J47" s="263">
        <f>+N47-L47+1</f>
        <v>91</v>
      </c>
      <c r="K47" s="263"/>
      <c r="L47" s="306">
        <v>41988</v>
      </c>
      <c r="M47" s="307"/>
      <c r="N47" s="306">
        <v>42078</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42065</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282</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37653</v>
      </c>
      <c r="G56" s="264"/>
      <c r="H56" s="264">
        <f>2441</f>
        <v>2441</v>
      </c>
      <c r="I56" s="264"/>
      <c r="J56" s="264">
        <v>0</v>
      </c>
      <c r="K56" s="264"/>
      <c r="L56" s="264">
        <v>0</v>
      </c>
      <c r="M56" s="264"/>
      <c r="N56" s="265">
        <f>+F56-H56+J56-L56</f>
        <v>35212</v>
      </c>
      <c r="O56" s="266"/>
      <c r="P56" s="5"/>
    </row>
    <row r="57" spans="1:16" ht="15.6" x14ac:dyDescent="0.3">
      <c r="A57" s="262"/>
      <c r="B57" s="263" t="s">
        <v>209</v>
      </c>
      <c r="C57" s="264"/>
      <c r="D57" s="264">
        <v>756</v>
      </c>
      <c r="E57" s="264"/>
      <c r="F57" s="265">
        <v>279</v>
      </c>
      <c r="G57" s="264"/>
      <c r="H57" s="264">
        <v>22</v>
      </c>
      <c r="I57" s="264"/>
      <c r="J57" s="264">
        <v>0</v>
      </c>
      <c r="K57" s="264"/>
      <c r="L57" s="264">
        <v>0</v>
      </c>
      <c r="M57" s="264"/>
      <c r="N57" s="265">
        <f>+F57-H57</f>
        <v>257</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37932</v>
      </c>
      <c r="G59" s="264"/>
      <c r="H59" s="264">
        <f>SUM(H56:H58)</f>
        <v>2463</v>
      </c>
      <c r="I59" s="264"/>
      <c r="J59" s="264">
        <f>SUM(J56:J58)</f>
        <v>0</v>
      </c>
      <c r="K59" s="264"/>
      <c r="L59" s="264">
        <f>SUM(L56:L58)</f>
        <v>0</v>
      </c>
      <c r="M59" s="264"/>
      <c r="N59" s="264">
        <f>SUM(N56:N58)</f>
        <v>35469</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-279</v>
      </c>
      <c r="G68" s="264"/>
      <c r="H68" s="264"/>
      <c r="I68" s="264"/>
      <c r="J68" s="264"/>
      <c r="K68" s="264"/>
      <c r="L68" s="264"/>
      <c r="M68" s="264"/>
      <c r="N68" s="265">
        <f>-N57</f>
        <v>-257</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37653</v>
      </c>
      <c r="G72" s="264"/>
      <c r="H72" s="264"/>
      <c r="I72" s="264"/>
      <c r="J72" s="264"/>
      <c r="K72" s="264"/>
      <c r="L72" s="264"/>
      <c r="M72" s="264"/>
      <c r="N72" s="264">
        <f>SUM(N59:N71)</f>
        <v>35212</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42062</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2441-3</f>
        <v>2438</v>
      </c>
      <c r="M77" s="263"/>
      <c r="N77" s="265"/>
      <c r="O77" s="266"/>
      <c r="P77" s="5"/>
    </row>
    <row r="78" spans="1:16" ht="15.6" x14ac:dyDescent="0.3">
      <c r="A78" s="262"/>
      <c r="B78" s="263" t="s">
        <v>176</v>
      </c>
      <c r="C78" s="263"/>
      <c r="D78" s="300"/>
      <c r="E78" s="263"/>
      <c r="F78" s="309"/>
      <c r="G78" s="263"/>
      <c r="H78" s="263"/>
      <c r="I78" s="263"/>
      <c r="J78" s="263"/>
      <c r="K78" s="263"/>
      <c r="L78" s="264"/>
      <c r="M78" s="263"/>
      <c r="N78" s="265">
        <f>816+147+610-615-107-463</f>
        <v>388</v>
      </c>
      <c r="O78" s="266"/>
      <c r="P78" s="5"/>
    </row>
    <row r="79" spans="1:16" ht="15.6" x14ac:dyDescent="0.3">
      <c r="A79" s="262"/>
      <c r="B79" s="263" t="s">
        <v>174</v>
      </c>
      <c r="C79" s="263"/>
      <c r="D79" s="300"/>
      <c r="E79" s="263"/>
      <c r="F79" s="309"/>
      <c r="G79" s="263"/>
      <c r="H79" s="263"/>
      <c r="I79" s="263"/>
      <c r="J79" s="263"/>
      <c r="K79" s="263"/>
      <c r="L79" s="264"/>
      <c r="M79" s="263"/>
      <c r="N79" s="265">
        <f>60+18+14</f>
        <v>92</v>
      </c>
      <c r="O79" s="266"/>
      <c r="P79" s="5"/>
    </row>
    <row r="80" spans="1:16" ht="15.6" x14ac:dyDescent="0.3">
      <c r="A80" s="262"/>
      <c r="B80" s="263" t="s">
        <v>175</v>
      </c>
      <c r="C80" s="263"/>
      <c r="D80" s="300"/>
      <c r="E80" s="263"/>
      <c r="F80" s="309"/>
      <c r="G80" s="263"/>
      <c r="H80" s="263"/>
      <c r="I80" s="263"/>
      <c r="J80" s="263"/>
      <c r="K80" s="263"/>
      <c r="L80" s="264"/>
      <c r="M80" s="263"/>
      <c r="N80" s="265">
        <v>3</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2438</v>
      </c>
      <c r="M83" s="263"/>
      <c r="N83" s="264">
        <f>SUM(N76:N82)</f>
        <v>483</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2438</v>
      </c>
      <c r="M87" s="263"/>
      <c r="N87" s="264">
        <f>N83+N85+N84+N86</f>
        <v>483</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-14-1-133</f>
        <v>-148</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-69</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3</v>
      </c>
      <c r="M98" s="263"/>
      <c r="N98" s="265">
        <v>-3</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-14</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-232</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-2441</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-2441</v>
      </c>
      <c r="M111" s="264"/>
      <c r="N111" s="264">
        <f>SUM(N88:N109)</f>
        <v>-483</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FEBRUARY 2015</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3</v>
      </c>
      <c r="O144" s="266"/>
      <c r="P144" s="5"/>
    </row>
    <row r="145" spans="1:256" ht="15.6" x14ac:dyDescent="0.3">
      <c r="A145" s="262"/>
      <c r="B145" s="263" t="s">
        <v>51</v>
      </c>
      <c r="C145" s="263"/>
      <c r="D145" s="263"/>
      <c r="E145" s="263"/>
      <c r="F145" s="263"/>
      <c r="G145" s="263"/>
      <c r="H145" s="263"/>
      <c r="I145" s="263"/>
      <c r="J145" s="263"/>
      <c r="K145" s="263"/>
      <c r="L145" s="263"/>
      <c r="M145" s="263"/>
      <c r="N145" s="265">
        <f>+N143+N144</f>
        <v>3</v>
      </c>
      <c r="O145" s="266"/>
      <c r="P145" s="5"/>
    </row>
    <row r="146" spans="1:256" ht="15.6" x14ac:dyDescent="0.3">
      <c r="A146" s="262"/>
      <c r="B146" s="263" t="s">
        <v>264</v>
      </c>
      <c r="C146" s="263"/>
      <c r="D146" s="263"/>
      <c r="E146" s="263"/>
      <c r="F146" s="263"/>
      <c r="G146" s="263"/>
      <c r="H146" s="263"/>
      <c r="I146" s="263"/>
      <c r="J146" s="263"/>
      <c r="K146" s="263"/>
      <c r="L146" s="263"/>
      <c r="M146" s="263"/>
      <c r="N146" s="265">
        <f>N98</f>
        <v>-3</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35212</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35212</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+'Nov 14'!N161</f>
        <v>279</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22</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257</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+'Nov 14'!L168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4.8260869565217392</v>
      </c>
      <c r="O173" s="266" t="s">
        <v>115</v>
      </c>
      <c r="P173" s="5"/>
    </row>
    <row r="174" spans="1:256" ht="15.6" x14ac:dyDescent="0.3">
      <c r="A174" s="262"/>
      <c r="B174" s="263" t="s">
        <v>63</v>
      </c>
      <c r="C174" s="263"/>
      <c r="D174" s="263"/>
      <c r="E174" s="263"/>
      <c r="F174" s="263"/>
      <c r="G174" s="263"/>
      <c r="H174" s="263"/>
      <c r="I174" s="263"/>
      <c r="J174" s="263"/>
      <c r="K174" s="263"/>
      <c r="L174" s="263"/>
      <c r="M174" s="263"/>
      <c r="N174" s="315">
        <v>2.14</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66</v>
      </c>
      <c r="O175" s="266" t="s">
        <v>115</v>
      </c>
      <c r="P175" s="5"/>
    </row>
    <row r="176" spans="1:256" ht="15.6" x14ac:dyDescent="0.3">
      <c r="A176" s="262"/>
      <c r="B176" s="263" t="s">
        <v>65</v>
      </c>
      <c r="C176" s="263"/>
      <c r="D176" s="263"/>
      <c r="E176" s="263"/>
      <c r="F176" s="263"/>
      <c r="G176" s="263"/>
      <c r="H176" s="263"/>
      <c r="I176" s="263"/>
      <c r="J176" s="263"/>
      <c r="K176" s="263"/>
      <c r="L176" s="263"/>
      <c r="M176" s="263"/>
      <c r="N176" s="315">
        <v>49.3</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65</v>
      </c>
      <c r="O177" s="266" t="s">
        <v>115</v>
      </c>
      <c r="P177" s="5"/>
    </row>
    <row r="178" spans="1:16" ht="15.6" x14ac:dyDescent="0.3">
      <c r="A178" s="262"/>
      <c r="B178" s="263" t="s">
        <v>167</v>
      </c>
      <c r="C178" s="263"/>
      <c r="D178" s="263"/>
      <c r="E178" s="263"/>
      <c r="F178" s="263"/>
      <c r="G178" s="263"/>
      <c r="H178" s="263"/>
      <c r="I178" s="263"/>
      <c r="J178" s="263"/>
      <c r="K178" s="263"/>
      <c r="L178" s="263"/>
      <c r="M178" s="263"/>
      <c r="N178" s="315">
        <v>46.45</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FEBRUARY 2015</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42062</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4.802E-2</v>
      </c>
      <c r="M188" s="263"/>
      <c r="N188" s="263"/>
      <c r="O188" s="266"/>
      <c r="P188" s="5"/>
    </row>
    <row r="189" spans="1:16" ht="15.6" x14ac:dyDescent="0.3">
      <c r="A189" s="321"/>
      <c r="B189" s="263" t="s">
        <v>212</v>
      </c>
      <c r="C189" s="322"/>
      <c r="D189" s="303"/>
      <c r="E189" s="303"/>
      <c r="F189" s="303"/>
      <c r="G189" s="303"/>
      <c r="H189" s="303"/>
      <c r="I189" s="303"/>
      <c r="J189" s="303"/>
      <c r="K189" s="303"/>
      <c r="L189" s="297">
        <f>N34</f>
        <v>8.1892615165921976E-3</v>
      </c>
      <c r="M189" s="263"/>
      <c r="N189" s="263"/>
      <c r="O189" s="266"/>
      <c r="P189" s="5"/>
    </row>
    <row r="190" spans="1:16" ht="15.6" x14ac:dyDescent="0.3">
      <c r="A190" s="321"/>
      <c r="B190" s="263" t="s">
        <v>70</v>
      </c>
      <c r="C190" s="322"/>
      <c r="D190" s="303"/>
      <c r="E190" s="303"/>
      <c r="F190" s="303"/>
      <c r="G190" s="303"/>
      <c r="H190" s="303"/>
      <c r="I190" s="303"/>
      <c r="J190" s="303"/>
      <c r="K190" s="303"/>
      <c r="L190" s="297">
        <f>L188-L189</f>
        <v>3.9830738483407804E-2</v>
      </c>
      <c r="M190" s="263"/>
      <c r="N190" s="263"/>
      <c r="O190" s="266"/>
      <c r="P190" s="5"/>
    </row>
    <row r="191" spans="1:16" ht="15.6" x14ac:dyDescent="0.3">
      <c r="A191" s="321"/>
      <c r="B191" s="263" t="s">
        <v>203</v>
      </c>
      <c r="C191" s="322"/>
      <c r="D191" s="303"/>
      <c r="E191" s="303"/>
      <c r="F191" s="303"/>
      <c r="G191" s="303"/>
      <c r="H191" s="303"/>
      <c r="I191" s="303"/>
      <c r="J191" s="303"/>
      <c r="K191" s="303"/>
      <c r="L191" s="297">
        <f>+N87/F59</f>
        <v>1.2733312242961089E-2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4.71</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6.4828831699997341E-2</v>
      </c>
      <c r="M197" s="263"/>
      <c r="N197" s="263"/>
      <c r="O197" s="266"/>
      <c r="P197" s="5"/>
    </row>
    <row r="198" spans="1:16" ht="15.6" x14ac:dyDescent="0.3">
      <c r="A198" s="321"/>
      <c r="B198" s="263" t="s">
        <v>74</v>
      </c>
      <c r="C198" s="322"/>
      <c r="D198" s="303"/>
      <c r="E198" s="303"/>
      <c r="F198" s="303"/>
      <c r="G198" s="303"/>
      <c r="H198" s="303"/>
      <c r="I198" s="303"/>
      <c r="J198" s="303"/>
      <c r="K198" s="303"/>
      <c r="L198" s="297">
        <v>0.27</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10</v>
      </c>
      <c r="L201" s="331">
        <v>434</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1</v>
      </c>
      <c r="L203" s="331">
        <f>+L286</f>
        <v>990</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3</v>
      </c>
      <c r="M207" s="291"/>
      <c r="N207" s="337"/>
      <c r="O207" s="342"/>
      <c r="P207" s="5"/>
    </row>
    <row r="208" spans="1:16" ht="15.6" x14ac:dyDescent="0.3">
      <c r="A208" s="330"/>
      <c r="B208" s="263" t="s">
        <v>82</v>
      </c>
      <c r="C208" s="264"/>
      <c r="D208" s="263"/>
      <c r="E208" s="263"/>
      <c r="F208" s="263"/>
      <c r="G208" s="263"/>
      <c r="H208" s="263"/>
      <c r="I208" s="263"/>
      <c r="J208" s="263"/>
      <c r="K208" s="276"/>
      <c r="L208" s="331">
        <f>'Nov 14'!L208+L207</f>
        <v>43</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805</v>
      </c>
      <c r="K221" s="355">
        <f t="shared" ref="K221:K233" si="2">J221/$J$235</f>
        <v>0.9526627218934911</v>
      </c>
      <c r="L221" s="265">
        <f t="shared" ref="L221:L233" si="3">+L238+L255+L272</f>
        <v>32647</v>
      </c>
      <c r="M221" s="355">
        <f t="shared" ref="M221:M233" si="4">L221/$L$235</f>
        <v>0.9271555151652846</v>
      </c>
      <c r="N221" s="332"/>
      <c r="O221" s="356"/>
      <c r="P221" s="5"/>
    </row>
    <row r="222" spans="1:17" ht="15.6" x14ac:dyDescent="0.3">
      <c r="A222" s="262"/>
      <c r="B222" s="264" t="s">
        <v>86</v>
      </c>
      <c r="C222" s="354"/>
      <c r="D222" s="354"/>
      <c r="E222" s="354"/>
      <c r="F222" s="354"/>
      <c r="G222" s="354"/>
      <c r="H222" s="354"/>
      <c r="I222" s="354"/>
      <c r="J222" s="264">
        <f t="shared" si="1"/>
        <v>9</v>
      </c>
      <c r="K222" s="355">
        <f t="shared" si="2"/>
        <v>1.0650887573964497E-2</v>
      </c>
      <c r="L222" s="265">
        <f t="shared" si="3"/>
        <v>344</v>
      </c>
      <c r="M222" s="355">
        <f t="shared" si="4"/>
        <v>9.7693967965466321E-3</v>
      </c>
      <c r="N222" s="332"/>
      <c r="O222" s="356"/>
      <c r="P222" s="5"/>
      <c r="Q222" s="104"/>
    </row>
    <row r="223" spans="1:17" ht="15.6" x14ac:dyDescent="0.3">
      <c r="A223" s="262"/>
      <c r="B223" s="264" t="s">
        <v>87</v>
      </c>
      <c r="C223" s="354"/>
      <c r="D223" s="354"/>
      <c r="E223" s="354"/>
      <c r="F223" s="354"/>
      <c r="G223" s="354"/>
      <c r="H223" s="354"/>
      <c r="I223" s="354"/>
      <c r="J223" s="264">
        <f t="shared" si="1"/>
        <v>5</v>
      </c>
      <c r="K223" s="355">
        <f t="shared" si="2"/>
        <v>5.9171597633136093E-3</v>
      </c>
      <c r="L223" s="265">
        <f t="shared" si="3"/>
        <v>286</v>
      </c>
      <c r="M223" s="355">
        <f t="shared" si="4"/>
        <v>8.1222310575940013E-3</v>
      </c>
      <c r="N223" s="332"/>
      <c r="O223" s="356"/>
      <c r="P223" s="5"/>
    </row>
    <row r="224" spans="1:17" ht="15.6" x14ac:dyDescent="0.3">
      <c r="A224" s="262"/>
      <c r="B224" s="264" t="s">
        <v>145</v>
      </c>
      <c r="C224" s="354"/>
      <c r="D224" s="354"/>
      <c r="E224" s="354"/>
      <c r="F224" s="354"/>
      <c r="G224" s="354"/>
      <c r="H224" s="354"/>
      <c r="I224" s="354"/>
      <c r="J224" s="264">
        <f t="shared" si="1"/>
        <v>1</v>
      </c>
      <c r="K224" s="355">
        <f t="shared" si="2"/>
        <v>1.1834319526627219E-3</v>
      </c>
      <c r="L224" s="265">
        <f t="shared" si="3"/>
        <v>53</v>
      </c>
      <c r="M224" s="355">
        <f t="shared" si="4"/>
        <v>1.5051686924911962E-3</v>
      </c>
      <c r="N224" s="332"/>
      <c r="O224" s="356"/>
      <c r="P224" s="5"/>
      <c r="Q224" s="104"/>
    </row>
    <row r="225" spans="1:17" ht="15.6" x14ac:dyDescent="0.3">
      <c r="A225" s="262"/>
      <c r="B225" s="264" t="s">
        <v>146</v>
      </c>
      <c r="C225" s="354"/>
      <c r="D225" s="354"/>
      <c r="E225" s="354"/>
      <c r="F225" s="354"/>
      <c r="G225" s="354"/>
      <c r="H225" s="354"/>
      <c r="I225" s="354"/>
      <c r="J225" s="264">
        <f t="shared" si="1"/>
        <v>6</v>
      </c>
      <c r="K225" s="355">
        <f t="shared" si="2"/>
        <v>7.100591715976331E-3</v>
      </c>
      <c r="L225" s="265">
        <f t="shared" si="3"/>
        <v>181</v>
      </c>
      <c r="M225" s="355">
        <f t="shared" si="4"/>
        <v>5.1402930819038966E-3</v>
      </c>
      <c r="N225" s="332"/>
      <c r="O225" s="356"/>
      <c r="P225" s="5"/>
    </row>
    <row r="226" spans="1:17" ht="15.6" x14ac:dyDescent="0.3">
      <c r="A226" s="262"/>
      <c r="B226" s="264" t="s">
        <v>147</v>
      </c>
      <c r="C226" s="354"/>
      <c r="D226" s="354"/>
      <c r="E226" s="354"/>
      <c r="F226" s="354"/>
      <c r="G226" s="354"/>
      <c r="H226" s="354"/>
      <c r="I226" s="354"/>
      <c r="J226" s="264">
        <f t="shared" si="1"/>
        <v>1</v>
      </c>
      <c r="K226" s="355">
        <f t="shared" si="2"/>
        <v>1.1834319526627219E-3</v>
      </c>
      <c r="L226" s="265">
        <f t="shared" si="3"/>
        <v>47</v>
      </c>
      <c r="M226" s="355">
        <f t="shared" si="4"/>
        <v>1.3347722367374759E-3</v>
      </c>
      <c r="N226" s="332"/>
      <c r="O226" s="356"/>
      <c r="P226" s="5"/>
      <c r="Q226" s="104"/>
    </row>
    <row r="227" spans="1:17" ht="15.6" x14ac:dyDescent="0.3">
      <c r="A227" s="262"/>
      <c r="B227" s="264" t="s">
        <v>227</v>
      </c>
      <c r="C227" s="354"/>
      <c r="D227" s="354"/>
      <c r="E227" s="354"/>
      <c r="F227" s="354"/>
      <c r="G227" s="354"/>
      <c r="H227" s="354"/>
      <c r="I227" s="354"/>
      <c r="J227" s="264">
        <f t="shared" si="1"/>
        <v>3</v>
      </c>
      <c r="K227" s="355">
        <f t="shared" si="2"/>
        <v>3.5502958579881655E-3</v>
      </c>
      <c r="L227" s="265">
        <f t="shared" si="3"/>
        <v>49</v>
      </c>
      <c r="M227" s="355">
        <f t="shared" si="4"/>
        <v>1.3915710553220493E-3</v>
      </c>
      <c r="N227" s="332"/>
      <c r="O227" s="356"/>
      <c r="P227" s="5"/>
    </row>
    <row r="228" spans="1:17" ht="15.6" x14ac:dyDescent="0.3">
      <c r="A228" s="262"/>
      <c r="B228" s="264" t="s">
        <v>228</v>
      </c>
      <c r="C228" s="354"/>
      <c r="D228" s="354"/>
      <c r="E228" s="354"/>
      <c r="F228" s="354"/>
      <c r="G228" s="354"/>
      <c r="H228" s="354"/>
      <c r="I228" s="354"/>
      <c r="J228" s="264">
        <f t="shared" si="1"/>
        <v>3</v>
      </c>
      <c r="K228" s="355">
        <f t="shared" si="2"/>
        <v>3.5502958579881655E-3</v>
      </c>
      <c r="L228" s="265">
        <f t="shared" si="3"/>
        <v>52</v>
      </c>
      <c r="M228" s="355">
        <f t="shared" si="4"/>
        <v>1.4767692831989094E-3</v>
      </c>
      <c r="N228" s="332"/>
      <c r="O228" s="356"/>
      <c r="P228" s="5"/>
      <c r="Q228" s="104"/>
    </row>
    <row r="229" spans="1:17" ht="15.6" x14ac:dyDescent="0.3">
      <c r="A229" s="262"/>
      <c r="B229" s="264" t="s">
        <v>229</v>
      </c>
      <c r="C229" s="354"/>
      <c r="D229" s="354"/>
      <c r="E229" s="354"/>
      <c r="F229" s="354"/>
      <c r="G229" s="354"/>
      <c r="H229" s="354"/>
      <c r="I229" s="354"/>
      <c r="J229" s="264">
        <f t="shared" si="1"/>
        <v>3</v>
      </c>
      <c r="K229" s="355">
        <f t="shared" si="2"/>
        <v>3.5502958579881655E-3</v>
      </c>
      <c r="L229" s="265">
        <f t="shared" si="3"/>
        <v>200</v>
      </c>
      <c r="M229" s="355">
        <f t="shared" si="4"/>
        <v>5.6798818584573437E-3</v>
      </c>
      <c r="N229" s="332"/>
      <c r="O229" s="356"/>
      <c r="P229" s="5"/>
      <c r="Q229" s="104"/>
    </row>
    <row r="230" spans="1:17" ht="15.6" x14ac:dyDescent="0.3">
      <c r="A230" s="262"/>
      <c r="B230" s="264" t="s">
        <v>230</v>
      </c>
      <c r="C230" s="354"/>
      <c r="D230" s="354"/>
      <c r="E230" s="354"/>
      <c r="F230" s="354"/>
      <c r="G230" s="354"/>
      <c r="H230" s="354"/>
      <c r="I230" s="354"/>
      <c r="J230" s="264">
        <f t="shared" si="1"/>
        <v>1</v>
      </c>
      <c r="K230" s="355">
        <f t="shared" si="2"/>
        <v>1.1834319526627219E-3</v>
      </c>
      <c r="L230" s="265">
        <f t="shared" si="3"/>
        <v>40</v>
      </c>
      <c r="M230" s="355">
        <f t="shared" si="4"/>
        <v>1.1359763716914687E-3</v>
      </c>
      <c r="N230" s="332"/>
      <c r="O230" s="356"/>
      <c r="P230" s="5"/>
      <c r="Q230" s="104"/>
    </row>
    <row r="231" spans="1:17" ht="15.6" x14ac:dyDescent="0.3">
      <c r="A231" s="262"/>
      <c r="B231" s="264" t="s">
        <v>231</v>
      </c>
      <c r="C231" s="354"/>
      <c r="D231" s="354"/>
      <c r="E231" s="354"/>
      <c r="F231" s="354"/>
      <c r="G231" s="354"/>
      <c r="H231" s="354"/>
      <c r="I231" s="354"/>
      <c r="J231" s="264">
        <f t="shared" si="1"/>
        <v>3</v>
      </c>
      <c r="K231" s="355">
        <f t="shared" si="2"/>
        <v>3.5502958579881655E-3</v>
      </c>
      <c r="L231" s="265">
        <f t="shared" si="3"/>
        <v>148</v>
      </c>
      <c r="M231" s="355">
        <f t="shared" si="4"/>
        <v>4.2031125752584348E-3</v>
      </c>
      <c r="N231" s="332"/>
      <c r="O231" s="356"/>
      <c r="P231" s="5"/>
      <c r="Q231" s="104"/>
    </row>
    <row r="232" spans="1:17" ht="15.6" x14ac:dyDescent="0.3">
      <c r="A232" s="262"/>
      <c r="B232" s="264" t="s">
        <v>232</v>
      </c>
      <c r="C232" s="354"/>
      <c r="D232" s="354"/>
      <c r="E232" s="354"/>
      <c r="F232" s="354"/>
      <c r="G232" s="354"/>
      <c r="H232" s="354"/>
      <c r="I232" s="354"/>
      <c r="J232" s="264">
        <f t="shared" si="1"/>
        <v>0</v>
      </c>
      <c r="K232" s="355">
        <f t="shared" si="2"/>
        <v>0</v>
      </c>
      <c r="L232" s="265">
        <f t="shared" si="3"/>
        <v>0</v>
      </c>
      <c r="M232" s="355">
        <f t="shared" si="4"/>
        <v>0</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5.9171597633136093E-3</v>
      </c>
      <c r="L233" s="265">
        <f t="shared" si="3"/>
        <v>1165</v>
      </c>
      <c r="M233" s="355">
        <f t="shared" si="4"/>
        <v>3.3085311825514031E-2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845</v>
      </c>
      <c r="K235" s="355">
        <f>SUM(K221:K234)</f>
        <v>0.99999999999999989</v>
      </c>
      <c r="L235" s="265">
        <f>SUM(L221:L234)</f>
        <v>35212</v>
      </c>
      <c r="M235" s="355">
        <f>SUM(M221:M234)</f>
        <v>1.0000000000000002</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805</v>
      </c>
      <c r="K238" s="355">
        <f t="shared" ref="K238:K250" si="5">J238/$J$252</f>
        <v>0.95379146919431279</v>
      </c>
      <c r="L238" s="265">
        <v>32647</v>
      </c>
      <c r="M238" s="355">
        <f t="shared" ref="M238:M250" si="6">L238/$L$252</f>
        <v>0.95397697387645375</v>
      </c>
      <c r="N238" s="332"/>
      <c r="O238" s="356"/>
      <c r="P238" s="5"/>
    </row>
    <row r="239" spans="1:17" ht="15.6" x14ac:dyDescent="0.3">
      <c r="A239" s="262"/>
      <c r="B239" s="264" t="s">
        <v>86</v>
      </c>
      <c r="C239" s="354"/>
      <c r="D239" s="354"/>
      <c r="E239" s="354"/>
      <c r="F239" s="354"/>
      <c r="G239" s="354"/>
      <c r="H239" s="354"/>
      <c r="I239" s="354"/>
      <c r="J239" s="264">
        <v>9</v>
      </c>
      <c r="K239" s="355">
        <f t="shared" si="5"/>
        <v>1.066350710900474E-2</v>
      </c>
      <c r="L239" s="265">
        <v>344</v>
      </c>
      <c r="M239" s="355">
        <f t="shared" si="6"/>
        <v>1.005201332476185E-2</v>
      </c>
      <c r="N239" s="332"/>
      <c r="O239" s="356"/>
      <c r="P239" s="5"/>
      <c r="Q239" s="104"/>
    </row>
    <row r="240" spans="1:17" ht="15.6" x14ac:dyDescent="0.3">
      <c r="A240" s="262"/>
      <c r="B240" s="264" t="s">
        <v>87</v>
      </c>
      <c r="C240" s="354"/>
      <c r="D240" s="354"/>
      <c r="E240" s="354"/>
      <c r="F240" s="354"/>
      <c r="G240" s="354"/>
      <c r="H240" s="354"/>
      <c r="I240" s="354"/>
      <c r="J240" s="264">
        <v>5</v>
      </c>
      <c r="K240" s="355">
        <f t="shared" si="5"/>
        <v>5.9241706161137437E-3</v>
      </c>
      <c r="L240" s="265">
        <v>286</v>
      </c>
      <c r="M240" s="355">
        <f t="shared" si="6"/>
        <v>8.3571971246566533E-3</v>
      </c>
      <c r="N240" s="332"/>
      <c r="O240" s="356"/>
      <c r="P240" s="5"/>
    </row>
    <row r="241" spans="1:17" ht="15.6" x14ac:dyDescent="0.3">
      <c r="A241" s="262"/>
      <c r="B241" s="264" t="s">
        <v>145</v>
      </c>
      <c r="C241" s="354"/>
      <c r="D241" s="354"/>
      <c r="E241" s="354"/>
      <c r="F241" s="354"/>
      <c r="G241" s="354"/>
      <c r="H241" s="354"/>
      <c r="I241" s="354"/>
      <c r="J241" s="264">
        <v>1</v>
      </c>
      <c r="K241" s="355">
        <f t="shared" si="5"/>
        <v>1.1848341232227489E-3</v>
      </c>
      <c r="L241" s="265">
        <v>53</v>
      </c>
      <c r="M241" s="355">
        <f t="shared" si="6"/>
        <v>1.5487113552685406E-3</v>
      </c>
      <c r="N241" s="332"/>
      <c r="O241" s="356"/>
      <c r="P241" s="5"/>
      <c r="Q241" s="104"/>
    </row>
    <row r="242" spans="1:17" ht="15.6" x14ac:dyDescent="0.3">
      <c r="A242" s="262"/>
      <c r="B242" s="264" t="s">
        <v>146</v>
      </c>
      <c r="C242" s="354"/>
      <c r="D242" s="354"/>
      <c r="E242" s="354"/>
      <c r="F242" s="354"/>
      <c r="G242" s="354"/>
      <c r="H242" s="354"/>
      <c r="I242" s="354"/>
      <c r="J242" s="264">
        <v>6</v>
      </c>
      <c r="K242" s="355">
        <f t="shared" si="5"/>
        <v>7.1090047393364926E-3</v>
      </c>
      <c r="L242" s="265">
        <v>181</v>
      </c>
      <c r="M242" s="355">
        <f t="shared" si="6"/>
        <v>5.2889953830869028E-3</v>
      </c>
      <c r="N242" s="332"/>
      <c r="O242" s="356"/>
      <c r="P242" s="5"/>
    </row>
    <row r="243" spans="1:17" ht="15.6" x14ac:dyDescent="0.3">
      <c r="A243" s="262"/>
      <c r="B243" s="264" t="s">
        <v>147</v>
      </c>
      <c r="C243" s="354"/>
      <c r="D243" s="354"/>
      <c r="E243" s="354"/>
      <c r="F243" s="354"/>
      <c r="G243" s="354"/>
      <c r="H243" s="354"/>
      <c r="I243" s="354"/>
      <c r="J243" s="264">
        <v>1</v>
      </c>
      <c r="K243" s="355">
        <f t="shared" si="5"/>
        <v>1.1848341232227489E-3</v>
      </c>
      <c r="L243" s="265">
        <v>47</v>
      </c>
      <c r="M243" s="355">
        <f t="shared" si="6"/>
        <v>1.373385541464555E-3</v>
      </c>
      <c r="N243" s="332"/>
      <c r="O243" s="356"/>
      <c r="P243" s="5"/>
      <c r="Q243" s="104"/>
    </row>
    <row r="244" spans="1:17" ht="15.6" x14ac:dyDescent="0.3">
      <c r="A244" s="262"/>
      <c r="B244" s="264" t="s">
        <v>227</v>
      </c>
      <c r="C244" s="354"/>
      <c r="D244" s="354"/>
      <c r="E244" s="354"/>
      <c r="F244" s="354"/>
      <c r="G244" s="354"/>
      <c r="H244" s="354"/>
      <c r="I244" s="354"/>
      <c r="J244" s="264">
        <v>3</v>
      </c>
      <c r="K244" s="355">
        <f t="shared" si="5"/>
        <v>3.5545023696682463E-3</v>
      </c>
      <c r="L244" s="265">
        <v>49</v>
      </c>
      <c r="M244" s="355">
        <f t="shared" si="6"/>
        <v>1.4318274793992168E-3</v>
      </c>
      <c r="N244" s="332"/>
      <c r="O244" s="356"/>
      <c r="P244" s="5"/>
    </row>
    <row r="245" spans="1:17" ht="15.6" x14ac:dyDescent="0.3">
      <c r="A245" s="262"/>
      <c r="B245" s="264" t="s">
        <v>228</v>
      </c>
      <c r="C245" s="354"/>
      <c r="D245" s="354"/>
      <c r="E245" s="354"/>
      <c r="F245" s="354"/>
      <c r="G245" s="354"/>
      <c r="H245" s="354"/>
      <c r="I245" s="354"/>
      <c r="J245" s="264">
        <v>3</v>
      </c>
      <c r="K245" s="355">
        <f t="shared" si="5"/>
        <v>3.5545023696682463E-3</v>
      </c>
      <c r="L245" s="265">
        <v>52</v>
      </c>
      <c r="M245" s="355">
        <f t="shared" si="6"/>
        <v>1.5194903863012098E-3</v>
      </c>
      <c r="N245" s="332"/>
      <c r="O245" s="356"/>
      <c r="P245" s="5"/>
      <c r="Q245" s="104"/>
    </row>
    <row r="246" spans="1:17" ht="15.6" x14ac:dyDescent="0.3">
      <c r="A246" s="262"/>
      <c r="B246" s="264" t="s">
        <v>229</v>
      </c>
      <c r="C246" s="354"/>
      <c r="D246" s="354"/>
      <c r="E246" s="354"/>
      <c r="F246" s="354"/>
      <c r="G246" s="354"/>
      <c r="H246" s="354"/>
      <c r="I246" s="354"/>
      <c r="J246" s="264">
        <v>3</v>
      </c>
      <c r="K246" s="355">
        <f t="shared" si="5"/>
        <v>3.5545023696682463E-3</v>
      </c>
      <c r="L246" s="265">
        <v>200</v>
      </c>
      <c r="M246" s="355">
        <f t="shared" si="6"/>
        <v>5.8441937934661913E-3</v>
      </c>
      <c r="N246" s="332"/>
      <c r="O246" s="356"/>
      <c r="P246" s="5"/>
      <c r="Q246" s="104"/>
    </row>
    <row r="247" spans="1:17" ht="15.6" x14ac:dyDescent="0.3">
      <c r="A247" s="262"/>
      <c r="B247" s="264" t="s">
        <v>230</v>
      </c>
      <c r="C247" s="354"/>
      <c r="D247" s="354"/>
      <c r="E247" s="354"/>
      <c r="F247" s="354"/>
      <c r="G247" s="354"/>
      <c r="H247" s="354"/>
      <c r="I247" s="354"/>
      <c r="J247" s="264">
        <v>1</v>
      </c>
      <c r="K247" s="355">
        <f t="shared" si="5"/>
        <v>1.1848341232227489E-3</v>
      </c>
      <c r="L247" s="265">
        <v>40</v>
      </c>
      <c r="M247" s="355">
        <f t="shared" si="6"/>
        <v>1.1688387586932382E-3</v>
      </c>
      <c r="N247" s="332"/>
      <c r="O247" s="356"/>
      <c r="P247" s="5"/>
      <c r="Q247" s="104"/>
    </row>
    <row r="248" spans="1:17" ht="15.6" x14ac:dyDescent="0.3">
      <c r="A248" s="262"/>
      <c r="B248" s="264" t="s">
        <v>231</v>
      </c>
      <c r="C248" s="354"/>
      <c r="D248" s="354"/>
      <c r="E248" s="354"/>
      <c r="F248" s="354"/>
      <c r="G248" s="354"/>
      <c r="H248" s="354"/>
      <c r="I248" s="354"/>
      <c r="J248" s="264">
        <v>3</v>
      </c>
      <c r="K248" s="355">
        <f t="shared" si="5"/>
        <v>3.5545023696682463E-3</v>
      </c>
      <c r="L248" s="265">
        <v>148</v>
      </c>
      <c r="M248" s="355">
        <f t="shared" si="6"/>
        <v>4.3247034071649815E-3</v>
      </c>
      <c r="N248" s="332"/>
      <c r="O248" s="356"/>
      <c r="P248" s="5"/>
      <c r="Q248" s="104"/>
    </row>
    <row r="249" spans="1:17" ht="15.6" x14ac:dyDescent="0.3">
      <c r="A249" s="262"/>
      <c r="B249" s="264" t="s">
        <v>232</v>
      </c>
      <c r="C249" s="354"/>
      <c r="D249" s="354"/>
      <c r="E249" s="354"/>
      <c r="F249" s="354"/>
      <c r="G249" s="354"/>
      <c r="H249" s="354"/>
      <c r="I249" s="354"/>
      <c r="J249" s="264">
        <v>0</v>
      </c>
      <c r="K249" s="355">
        <f t="shared" si="5"/>
        <v>0</v>
      </c>
      <c r="L249" s="265">
        <v>0</v>
      </c>
      <c r="M249" s="355">
        <f t="shared" si="6"/>
        <v>0</v>
      </c>
      <c r="N249" s="332"/>
      <c r="O249" s="356"/>
      <c r="P249" s="5"/>
      <c r="Q249" s="104"/>
    </row>
    <row r="250" spans="1:17" ht="15.6" x14ac:dyDescent="0.3">
      <c r="A250" s="262"/>
      <c r="B250" s="264" t="s">
        <v>233</v>
      </c>
      <c r="C250" s="354"/>
      <c r="D250" s="354"/>
      <c r="E250" s="354"/>
      <c r="F250" s="354"/>
      <c r="G250" s="354"/>
      <c r="H250" s="354"/>
      <c r="I250" s="354"/>
      <c r="J250" s="264">
        <v>4</v>
      </c>
      <c r="K250" s="355">
        <f t="shared" si="5"/>
        <v>4.7393364928909956E-3</v>
      </c>
      <c r="L250" s="265">
        <v>175</v>
      </c>
      <c r="M250" s="355">
        <f t="shared" si="6"/>
        <v>5.1136695692829172E-3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844</v>
      </c>
      <c r="K252" s="355">
        <f>SUM(K238:K251)</f>
        <v>1.0000000000000002</v>
      </c>
      <c r="L252" s="265">
        <f>SUM(L238:L251)</f>
        <v>34222</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1</v>
      </c>
      <c r="L284" s="265">
        <v>990</v>
      </c>
      <c r="M284" s="355">
        <f t="shared" si="8"/>
        <v>1</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1</v>
      </c>
      <c r="K286" s="355">
        <f>SUM(K272:K284)</f>
        <v>1</v>
      </c>
      <c r="L286" s="265">
        <f>SUM(L272:L284)</f>
        <v>990</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845</v>
      </c>
      <c r="K288" s="355"/>
      <c r="L288" s="359">
        <f>+L286+L269+L252</f>
        <v>35212</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FEBRUARY 2015</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53" orientation="landscape" r:id="rId1"/>
  <headerFooter alignWithMargins="0"/>
  <rowBreaks count="3" manualBreakCount="3">
    <brk id="52" max="14" man="1"/>
    <brk id="115" max="14" man="1"/>
    <brk id="182" max="14" man="1"/>
  </rowBreaks>
  <colBreaks count="1" manualBreakCount="1">
    <brk id="15" max="298"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V299"/>
  <sheetViews>
    <sheetView showGridLines="0" showOutlineSymbols="0" zoomScale="80" zoomScaleNormal="8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0.1096</v>
      </c>
      <c r="L16" s="232" t="s">
        <v>133</v>
      </c>
      <c r="M16" s="231">
        <v>0.89039999999999997</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42177</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32015.293700000002</v>
      </c>
      <c r="E29" s="279"/>
      <c r="F29" s="279">
        <f>F28*F32</f>
        <v>1598.20047</v>
      </c>
      <c r="G29" s="279"/>
      <c r="H29" s="279">
        <f>H28*H32</f>
        <v>1598.20047</v>
      </c>
      <c r="I29" s="279"/>
      <c r="J29" s="284"/>
      <c r="K29" s="279"/>
      <c r="L29" s="279"/>
      <c r="M29" s="280"/>
      <c r="N29" s="279">
        <f>SUM(D29:H29)</f>
        <v>35211.694640000009</v>
      </c>
      <c r="O29" s="281"/>
      <c r="P29" s="5"/>
    </row>
    <row r="30" spans="1:16" ht="15.6" x14ac:dyDescent="0.3">
      <c r="A30" s="274"/>
      <c r="B30" s="275" t="s">
        <v>130</v>
      </c>
      <c r="C30" s="278"/>
      <c r="D30" s="285">
        <f>D28*D31</f>
        <v>30011.8403</v>
      </c>
      <c r="E30" s="285"/>
      <c r="F30" s="285">
        <f>F28*F31</f>
        <v>1598.20047</v>
      </c>
      <c r="G30" s="285"/>
      <c r="H30" s="285">
        <f>H28*H31</f>
        <v>1598.20047</v>
      </c>
      <c r="I30" s="285"/>
      <c r="J30" s="288"/>
      <c r="K30" s="279"/>
      <c r="L30" s="279"/>
      <c r="M30" s="280"/>
      <c r="N30" s="285">
        <f>SUM(D30:I30)+1</f>
        <v>33209.241240000003</v>
      </c>
      <c r="O30" s="281"/>
      <c r="P30" s="5"/>
    </row>
    <row r="31" spans="1:16" ht="15.6" x14ac:dyDescent="0.3">
      <c r="A31" s="262"/>
      <c r="B31" s="290" t="s">
        <v>126</v>
      </c>
      <c r="C31" s="291"/>
      <c r="D31" s="292">
        <v>0.11520859999999999</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0.12289940000000001</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8.0400000000000003E-3</v>
      </c>
      <c r="E34" s="297"/>
      <c r="F34" s="298">
        <v>9.2399999999999999E-3</v>
      </c>
      <c r="G34" s="297"/>
      <c r="H34" s="298">
        <v>1.124E-2</v>
      </c>
      <c r="I34" s="297"/>
      <c r="J34" s="298"/>
      <c r="K34" s="297"/>
      <c r="L34" s="298"/>
      <c r="M34" s="268"/>
      <c r="N34" s="297">
        <f>SUMPRODUCT(D34:H34,D29:H29)/N29</f>
        <v>8.2397087087087133E-3</v>
      </c>
      <c r="O34" s="266"/>
      <c r="P34" s="5"/>
    </row>
    <row r="35" spans="1:17" ht="15.6" x14ac:dyDescent="0.3">
      <c r="A35" s="274"/>
      <c r="B35" s="263" t="s">
        <v>11</v>
      </c>
      <c r="C35" s="263"/>
      <c r="D35" s="298">
        <v>8.0024999999999992E-3</v>
      </c>
      <c r="E35" s="297"/>
      <c r="F35" s="298">
        <v>9.2025000000000006E-3</v>
      </c>
      <c r="G35" s="297"/>
      <c r="H35" s="298">
        <v>1.1202500000000001E-2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0.10650466309458537</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42170</v>
      </c>
      <c r="O45" s="266"/>
      <c r="P45" s="5"/>
    </row>
    <row r="46" spans="1:17" ht="15.6" x14ac:dyDescent="0.3">
      <c r="A46" s="274"/>
      <c r="B46" s="263" t="s">
        <v>119</v>
      </c>
      <c r="C46" s="263"/>
      <c r="D46" s="305"/>
      <c r="E46" s="305"/>
      <c r="F46" s="305"/>
      <c r="G46" s="305"/>
      <c r="H46" s="305"/>
      <c r="I46" s="305"/>
      <c r="J46" s="263">
        <f>+N46-L46+1</f>
        <v>91</v>
      </c>
      <c r="K46" s="305"/>
      <c r="L46" s="306">
        <v>41988</v>
      </c>
      <c r="M46" s="307"/>
      <c r="N46" s="306">
        <v>42078</v>
      </c>
      <c r="O46" s="266"/>
      <c r="P46" s="5"/>
    </row>
    <row r="47" spans="1:17" ht="15.6" x14ac:dyDescent="0.3">
      <c r="A47" s="274"/>
      <c r="B47" s="263" t="s">
        <v>120</v>
      </c>
      <c r="C47" s="263"/>
      <c r="D47" s="263"/>
      <c r="E47" s="263"/>
      <c r="F47" s="263"/>
      <c r="G47" s="263"/>
      <c r="H47" s="263"/>
      <c r="I47" s="263"/>
      <c r="J47" s="263">
        <f>+N47-L47+1</f>
        <v>91</v>
      </c>
      <c r="K47" s="263"/>
      <c r="L47" s="306">
        <v>42079</v>
      </c>
      <c r="M47" s="307"/>
      <c r="N47" s="306">
        <v>42169</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42156</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283</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35212</v>
      </c>
      <c r="G56" s="264"/>
      <c r="H56" s="264">
        <v>2003</v>
      </c>
      <c r="I56" s="264"/>
      <c r="J56" s="264">
        <v>0</v>
      </c>
      <c r="K56" s="264"/>
      <c r="L56" s="264">
        <v>0</v>
      </c>
      <c r="M56" s="264"/>
      <c r="N56" s="265">
        <f>+F56-H56+J56-L56</f>
        <v>33209</v>
      </c>
      <c r="O56" s="266"/>
      <c r="P56" s="5"/>
    </row>
    <row r="57" spans="1:16" ht="15.6" x14ac:dyDescent="0.3">
      <c r="A57" s="262"/>
      <c r="B57" s="263" t="s">
        <v>209</v>
      </c>
      <c r="C57" s="264"/>
      <c r="D57" s="264">
        <v>756</v>
      </c>
      <c r="E57" s="264"/>
      <c r="F57" s="265">
        <v>257</v>
      </c>
      <c r="G57" s="264"/>
      <c r="H57" s="264">
        <v>6</v>
      </c>
      <c r="I57" s="264"/>
      <c r="J57" s="264">
        <v>0</v>
      </c>
      <c r="K57" s="264"/>
      <c r="L57" s="264">
        <v>0</v>
      </c>
      <c r="M57" s="264"/>
      <c r="N57" s="265">
        <f>+F57-H57</f>
        <v>251</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35469</v>
      </c>
      <c r="G59" s="264"/>
      <c r="H59" s="264">
        <f>SUM(H56:H58)</f>
        <v>2009</v>
      </c>
      <c r="I59" s="264"/>
      <c r="J59" s="264">
        <f>SUM(J56:J58)</f>
        <v>0</v>
      </c>
      <c r="K59" s="264"/>
      <c r="L59" s="264">
        <f>SUM(L56:L58)</f>
        <v>0</v>
      </c>
      <c r="M59" s="264"/>
      <c r="N59" s="264">
        <f>SUM(N56:N58)</f>
        <v>33460</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-257</v>
      </c>
      <c r="G68" s="264"/>
      <c r="H68" s="264"/>
      <c r="I68" s="264"/>
      <c r="J68" s="264"/>
      <c r="K68" s="264"/>
      <c r="L68" s="264"/>
      <c r="M68" s="264"/>
      <c r="N68" s="265">
        <f>-N57</f>
        <v>-251</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35212</v>
      </c>
      <c r="G72" s="264"/>
      <c r="H72" s="264"/>
      <c r="I72" s="264"/>
      <c r="J72" s="264"/>
      <c r="K72" s="264"/>
      <c r="L72" s="264"/>
      <c r="M72" s="264"/>
      <c r="N72" s="264">
        <f>SUM(N59:N71)</f>
        <v>33209</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42153</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2003-11</f>
        <v>1992</v>
      </c>
      <c r="M77" s="263"/>
      <c r="N77" s="265"/>
      <c r="O77" s="266"/>
      <c r="P77" s="5"/>
    </row>
    <row r="78" spans="1:16" ht="15.6" x14ac:dyDescent="0.3">
      <c r="A78" s="262"/>
      <c r="B78" s="263" t="s">
        <v>176</v>
      </c>
      <c r="C78" s="263"/>
      <c r="D78" s="300"/>
      <c r="E78" s="263"/>
      <c r="F78" s="309"/>
      <c r="G78" s="263"/>
      <c r="H78" s="263"/>
      <c r="I78" s="263"/>
      <c r="J78" s="263"/>
      <c r="K78" s="263"/>
      <c r="L78" s="264"/>
      <c r="M78" s="263"/>
      <c r="N78" s="265">
        <f>1029+101+265-763-63-155</f>
        <v>414</v>
      </c>
      <c r="O78" s="266"/>
      <c r="P78" s="5"/>
    </row>
    <row r="79" spans="1:16" ht="15.6" x14ac:dyDescent="0.3">
      <c r="A79" s="262"/>
      <c r="B79" s="263" t="s">
        <v>174</v>
      </c>
      <c r="C79" s="263"/>
      <c r="D79" s="300"/>
      <c r="E79" s="263"/>
      <c r="F79" s="309"/>
      <c r="G79" s="263"/>
      <c r="H79" s="263"/>
      <c r="I79" s="263"/>
      <c r="J79" s="263"/>
      <c r="K79" s="263"/>
      <c r="L79" s="264"/>
      <c r="M79" s="263"/>
      <c r="N79" s="265">
        <f>7+5+33</f>
        <v>45</v>
      </c>
      <c r="O79" s="266"/>
      <c r="P79" s="5"/>
    </row>
    <row r="80" spans="1:16" ht="15.6" x14ac:dyDescent="0.3">
      <c r="A80" s="262"/>
      <c r="B80" s="263" t="s">
        <v>175</v>
      </c>
      <c r="C80" s="263"/>
      <c r="D80" s="300"/>
      <c r="E80" s="263"/>
      <c r="F80" s="309"/>
      <c r="G80" s="263"/>
      <c r="H80" s="263"/>
      <c r="I80" s="263"/>
      <c r="J80" s="263"/>
      <c r="K80" s="263"/>
      <c r="L80" s="264"/>
      <c r="M80" s="263"/>
      <c r="N80" s="265">
        <v>2</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1992</v>
      </c>
      <c r="M83" s="263"/>
      <c r="N83" s="264">
        <f>SUM(N76:N82)</f>
        <v>461</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1992</v>
      </c>
      <c r="M87" s="263"/>
      <c r="N87" s="264">
        <f>N83+N85+N84+N86</f>
        <v>461</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-14-1-81</f>
        <v>-96</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-64</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11</v>
      </c>
      <c r="M98" s="263"/>
      <c r="N98" s="265">
        <v>-11</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-13</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-260</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-2003</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-2003</v>
      </c>
      <c r="M111" s="264"/>
      <c r="N111" s="264">
        <f>SUM(N88:N109)</f>
        <v>-461</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MAY 2015</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11</v>
      </c>
      <c r="O144" s="266"/>
      <c r="P144" s="5"/>
    </row>
    <row r="145" spans="1:256" ht="15.6" x14ac:dyDescent="0.3">
      <c r="A145" s="262"/>
      <c r="B145" s="263" t="s">
        <v>51</v>
      </c>
      <c r="C145" s="263"/>
      <c r="D145" s="263"/>
      <c r="E145" s="263"/>
      <c r="F145" s="263"/>
      <c r="G145" s="263"/>
      <c r="H145" s="263"/>
      <c r="I145" s="263"/>
      <c r="J145" s="263"/>
      <c r="K145" s="263"/>
      <c r="L145" s="263"/>
      <c r="M145" s="263"/>
      <c r="N145" s="265">
        <f>+N143+N144</f>
        <v>11</v>
      </c>
      <c r="O145" s="266"/>
      <c r="P145" s="5"/>
    </row>
    <row r="146" spans="1:256" ht="15.6" x14ac:dyDescent="0.3">
      <c r="A146" s="262"/>
      <c r="B146" s="263" t="s">
        <v>264</v>
      </c>
      <c r="C146" s="263"/>
      <c r="D146" s="263"/>
      <c r="E146" s="263"/>
      <c r="F146" s="263"/>
      <c r="G146" s="263"/>
      <c r="H146" s="263"/>
      <c r="I146" s="263"/>
      <c r="J146" s="263"/>
      <c r="K146" s="263"/>
      <c r="L146" s="263"/>
      <c r="M146" s="263"/>
      <c r="N146" s="265">
        <f>N98</f>
        <v>-11</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33209</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33209</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+'Feb 15'!N161</f>
        <v>257</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6</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251</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+'Feb 15'!L168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5.671875</v>
      </c>
      <c r="O173" s="266" t="s">
        <v>115</v>
      </c>
      <c r="P173" s="5"/>
    </row>
    <row r="174" spans="1:256" ht="15.6" x14ac:dyDescent="0.3">
      <c r="A174" s="262"/>
      <c r="B174" s="263" t="s">
        <v>63</v>
      </c>
      <c r="C174" s="263"/>
      <c r="D174" s="263"/>
      <c r="E174" s="263"/>
      <c r="F174" s="263"/>
      <c r="G174" s="263"/>
      <c r="H174" s="263"/>
      <c r="I174" s="263"/>
      <c r="J174" s="263"/>
      <c r="K174" s="263"/>
      <c r="L174" s="263"/>
      <c r="M174" s="263"/>
      <c r="N174" s="315">
        <v>2.15</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74.75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49.45</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73.75</v>
      </c>
      <c r="O177" s="266" t="s">
        <v>115</v>
      </c>
      <c r="P177" s="5"/>
    </row>
    <row r="178" spans="1:16" ht="15.6" x14ac:dyDescent="0.3">
      <c r="A178" s="262"/>
      <c r="B178" s="263" t="s">
        <v>167</v>
      </c>
      <c r="C178" s="263"/>
      <c r="D178" s="263"/>
      <c r="E178" s="263"/>
      <c r="F178" s="263"/>
      <c r="G178" s="263"/>
      <c r="H178" s="263"/>
      <c r="I178" s="263"/>
      <c r="J178" s="263"/>
      <c r="K178" s="263"/>
      <c r="L178" s="263"/>
      <c r="M178" s="263"/>
      <c r="N178" s="315">
        <v>46.6</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MAY 2015</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42153</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4.795E-2</v>
      </c>
      <c r="M188" s="263"/>
      <c r="N188" s="263"/>
      <c r="O188" s="266"/>
      <c r="P188" s="5"/>
    </row>
    <row r="189" spans="1:16" ht="15.6" x14ac:dyDescent="0.3">
      <c r="A189" s="321"/>
      <c r="B189" s="263" t="s">
        <v>212</v>
      </c>
      <c r="C189" s="322"/>
      <c r="D189" s="303"/>
      <c r="E189" s="303"/>
      <c r="F189" s="303"/>
      <c r="G189" s="303"/>
      <c r="H189" s="303"/>
      <c r="I189" s="303"/>
      <c r="J189" s="303"/>
      <c r="K189" s="303"/>
      <c r="L189" s="297">
        <f>N34</f>
        <v>8.2397087087087133E-3</v>
      </c>
      <c r="M189" s="263"/>
      <c r="N189" s="263"/>
      <c r="O189" s="266"/>
      <c r="P189" s="5"/>
    </row>
    <row r="190" spans="1:16" ht="15.6" x14ac:dyDescent="0.3">
      <c r="A190" s="321"/>
      <c r="B190" s="263" t="s">
        <v>70</v>
      </c>
      <c r="C190" s="322"/>
      <c r="D190" s="303"/>
      <c r="E190" s="303"/>
      <c r="F190" s="303"/>
      <c r="G190" s="303"/>
      <c r="H190" s="303"/>
      <c r="I190" s="303"/>
      <c r="J190" s="303"/>
      <c r="K190" s="303"/>
      <c r="L190" s="297">
        <f>L188-L189</f>
        <v>3.9710291291291284E-2</v>
      </c>
      <c r="M190" s="263"/>
      <c r="N190" s="263"/>
      <c r="O190" s="266"/>
      <c r="P190" s="5"/>
    </row>
    <row r="191" spans="1:16" ht="15.6" x14ac:dyDescent="0.3">
      <c r="A191" s="321"/>
      <c r="B191" s="263" t="s">
        <v>203</v>
      </c>
      <c r="C191" s="322"/>
      <c r="D191" s="303"/>
      <c r="E191" s="303"/>
      <c r="F191" s="303"/>
      <c r="G191" s="303"/>
      <c r="H191" s="303"/>
      <c r="I191" s="303"/>
      <c r="J191" s="303"/>
      <c r="K191" s="303"/>
      <c r="L191" s="297">
        <f>+N87/F59</f>
        <v>1.2997265217513885E-2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4.53</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5.6884016812450304E-2</v>
      </c>
      <c r="M197" s="263"/>
      <c r="N197" s="263"/>
      <c r="O197" s="266"/>
      <c r="P197" s="5"/>
    </row>
    <row r="198" spans="1:16" ht="15.6" x14ac:dyDescent="0.3">
      <c r="A198" s="321"/>
      <c r="B198" s="263" t="s">
        <v>74</v>
      </c>
      <c r="C198" s="322"/>
      <c r="D198" s="303"/>
      <c r="E198" s="303"/>
      <c r="F198" s="303"/>
      <c r="G198" s="303"/>
      <c r="H198" s="303"/>
      <c r="I198" s="303"/>
      <c r="J198" s="303"/>
      <c r="K198" s="303"/>
      <c r="L198" s="297">
        <v>0.26819999999999999</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12</v>
      </c>
      <c r="L201" s="331">
        <v>538</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1</v>
      </c>
      <c r="L203" s="331">
        <f>+L286</f>
        <v>991</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11</v>
      </c>
      <c r="M207" s="291"/>
      <c r="N207" s="337"/>
      <c r="O207" s="342"/>
      <c r="P207" s="5"/>
    </row>
    <row r="208" spans="1:16" ht="15.6" x14ac:dyDescent="0.3">
      <c r="A208" s="330"/>
      <c r="B208" s="263" t="s">
        <v>82</v>
      </c>
      <c r="C208" s="264"/>
      <c r="D208" s="263"/>
      <c r="E208" s="263"/>
      <c r="F208" s="263"/>
      <c r="G208" s="263"/>
      <c r="H208" s="263"/>
      <c r="I208" s="263"/>
      <c r="J208" s="263"/>
      <c r="K208" s="276"/>
      <c r="L208" s="331">
        <f>'Feb 15'!L208+L207</f>
        <v>54</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766</v>
      </c>
      <c r="K221" s="355">
        <f t="shared" ref="K221:K233" si="2">J221/$J$235</f>
        <v>0.94919454770755884</v>
      </c>
      <c r="L221" s="265">
        <f t="shared" ref="L221:L233" si="3">+L238+L255+L272</f>
        <v>30436</v>
      </c>
      <c r="M221" s="355">
        <f t="shared" ref="M221:M233" si="4">L221/$L$235</f>
        <v>0.91649853955253091</v>
      </c>
      <c r="N221" s="332"/>
      <c r="O221" s="356"/>
      <c r="P221" s="5"/>
    </row>
    <row r="222" spans="1:17" ht="15.6" x14ac:dyDescent="0.3">
      <c r="A222" s="262"/>
      <c r="B222" s="264" t="s">
        <v>86</v>
      </c>
      <c r="C222" s="354"/>
      <c r="D222" s="354"/>
      <c r="E222" s="354"/>
      <c r="F222" s="354"/>
      <c r="G222" s="354"/>
      <c r="H222" s="354"/>
      <c r="I222" s="354"/>
      <c r="J222" s="264">
        <f t="shared" si="1"/>
        <v>12</v>
      </c>
      <c r="K222" s="355">
        <f t="shared" si="2"/>
        <v>1.4869888475836431E-2</v>
      </c>
      <c r="L222" s="265">
        <f t="shared" si="3"/>
        <v>578</v>
      </c>
      <c r="M222" s="355">
        <f t="shared" si="4"/>
        <v>1.7404920352916377E-2</v>
      </c>
      <c r="N222" s="332"/>
      <c r="O222" s="356"/>
      <c r="P222" s="5"/>
      <c r="Q222" s="104"/>
    </row>
    <row r="223" spans="1:17" ht="15.6" x14ac:dyDescent="0.3">
      <c r="A223" s="262"/>
      <c r="B223" s="264" t="s">
        <v>87</v>
      </c>
      <c r="C223" s="354"/>
      <c r="D223" s="354"/>
      <c r="E223" s="354"/>
      <c r="F223" s="354"/>
      <c r="G223" s="354"/>
      <c r="H223" s="354"/>
      <c r="I223" s="354"/>
      <c r="J223" s="264">
        <f t="shared" si="1"/>
        <v>7</v>
      </c>
      <c r="K223" s="355">
        <f t="shared" si="2"/>
        <v>8.6741016109045856E-3</v>
      </c>
      <c r="L223" s="265">
        <f t="shared" si="3"/>
        <v>371</v>
      </c>
      <c r="M223" s="355">
        <f t="shared" si="4"/>
        <v>1.1171670330332138E-2</v>
      </c>
      <c r="N223" s="332"/>
      <c r="O223" s="356"/>
      <c r="P223" s="5"/>
    </row>
    <row r="224" spans="1:17" ht="15.6" x14ac:dyDescent="0.3">
      <c r="A224" s="262"/>
      <c r="B224" s="264" t="s">
        <v>145</v>
      </c>
      <c r="C224" s="354"/>
      <c r="D224" s="354"/>
      <c r="E224" s="354"/>
      <c r="F224" s="354"/>
      <c r="G224" s="354"/>
      <c r="H224" s="354"/>
      <c r="I224" s="354"/>
      <c r="J224" s="264">
        <f t="shared" si="1"/>
        <v>1</v>
      </c>
      <c r="K224" s="355">
        <f t="shared" si="2"/>
        <v>1.2391573729863693E-3</v>
      </c>
      <c r="L224" s="265">
        <f t="shared" si="3"/>
        <v>47</v>
      </c>
      <c r="M224" s="355">
        <f t="shared" si="4"/>
        <v>1.4152789906350688E-3</v>
      </c>
      <c r="N224" s="332"/>
      <c r="O224" s="356"/>
      <c r="P224" s="5"/>
      <c r="Q224" s="104"/>
    </row>
    <row r="225" spans="1:17" ht="15.6" x14ac:dyDescent="0.3">
      <c r="A225" s="262"/>
      <c r="B225" s="264" t="s">
        <v>146</v>
      </c>
      <c r="C225" s="354"/>
      <c r="D225" s="354"/>
      <c r="E225" s="354"/>
      <c r="F225" s="354"/>
      <c r="G225" s="354"/>
      <c r="H225" s="354"/>
      <c r="I225" s="354"/>
      <c r="J225" s="264">
        <f t="shared" si="1"/>
        <v>3</v>
      </c>
      <c r="K225" s="355">
        <f t="shared" si="2"/>
        <v>3.7174721189591076E-3</v>
      </c>
      <c r="L225" s="265">
        <f t="shared" si="3"/>
        <v>107</v>
      </c>
      <c r="M225" s="355">
        <f t="shared" si="4"/>
        <v>3.2220181276160077E-3</v>
      </c>
      <c r="N225" s="332"/>
      <c r="O225" s="356"/>
      <c r="P225" s="5"/>
    </row>
    <row r="226" spans="1:17" ht="15.6" x14ac:dyDescent="0.3">
      <c r="A226" s="262"/>
      <c r="B226" s="264" t="s">
        <v>147</v>
      </c>
      <c r="C226" s="354"/>
      <c r="D226" s="354"/>
      <c r="E226" s="354"/>
      <c r="F226" s="354"/>
      <c r="G226" s="354"/>
      <c r="H226" s="354"/>
      <c r="I226" s="354"/>
      <c r="J226" s="264">
        <f t="shared" si="1"/>
        <v>0</v>
      </c>
      <c r="K226" s="355">
        <f t="shared" si="2"/>
        <v>0</v>
      </c>
      <c r="L226" s="265">
        <f t="shared" si="3"/>
        <v>0</v>
      </c>
      <c r="M226" s="355">
        <f t="shared" si="4"/>
        <v>0</v>
      </c>
      <c r="N226" s="332"/>
      <c r="O226" s="356"/>
      <c r="P226" s="5"/>
      <c r="Q226" s="104"/>
    </row>
    <row r="227" spans="1:17" ht="15.6" x14ac:dyDescent="0.3">
      <c r="A227" s="262"/>
      <c r="B227" s="264" t="s">
        <v>227</v>
      </c>
      <c r="C227" s="354"/>
      <c r="D227" s="354"/>
      <c r="E227" s="354"/>
      <c r="F227" s="354"/>
      <c r="G227" s="354"/>
      <c r="H227" s="354"/>
      <c r="I227" s="354"/>
      <c r="J227" s="264">
        <f t="shared" si="1"/>
        <v>3</v>
      </c>
      <c r="K227" s="355">
        <f t="shared" si="2"/>
        <v>3.7174721189591076E-3</v>
      </c>
      <c r="L227" s="265">
        <f t="shared" si="3"/>
        <v>70</v>
      </c>
      <c r="M227" s="355">
        <f t="shared" si="4"/>
        <v>2.1078623264777622E-3</v>
      </c>
      <c r="N227" s="332"/>
      <c r="O227" s="356"/>
      <c r="P227" s="5"/>
    </row>
    <row r="228" spans="1:17" ht="15.6" x14ac:dyDescent="0.3">
      <c r="A228" s="262"/>
      <c r="B228" s="264" t="s">
        <v>228</v>
      </c>
      <c r="C228" s="354"/>
      <c r="D228" s="354"/>
      <c r="E228" s="354"/>
      <c r="F228" s="354"/>
      <c r="G228" s="354"/>
      <c r="H228" s="354"/>
      <c r="I228" s="354"/>
      <c r="J228" s="264">
        <f t="shared" si="1"/>
        <v>3</v>
      </c>
      <c r="K228" s="355">
        <f t="shared" si="2"/>
        <v>3.7174721189591076E-3</v>
      </c>
      <c r="L228" s="265">
        <f t="shared" si="3"/>
        <v>69</v>
      </c>
      <c r="M228" s="355">
        <f t="shared" si="4"/>
        <v>2.0777500075280799E-3</v>
      </c>
      <c r="N228" s="332"/>
      <c r="O228" s="356"/>
      <c r="P228" s="5"/>
      <c r="Q228" s="104"/>
    </row>
    <row r="229" spans="1:17" ht="15.6" x14ac:dyDescent="0.3">
      <c r="A229" s="262"/>
      <c r="B229" s="264" t="s">
        <v>229</v>
      </c>
      <c r="C229" s="354"/>
      <c r="D229" s="354"/>
      <c r="E229" s="354"/>
      <c r="F229" s="354"/>
      <c r="G229" s="354"/>
      <c r="H229" s="354"/>
      <c r="I229" s="354"/>
      <c r="J229" s="264">
        <f t="shared" si="1"/>
        <v>2</v>
      </c>
      <c r="K229" s="355">
        <f t="shared" si="2"/>
        <v>2.4783147459727386E-3</v>
      </c>
      <c r="L229" s="265">
        <f t="shared" si="3"/>
        <v>39</v>
      </c>
      <c r="M229" s="355">
        <f t="shared" si="4"/>
        <v>1.1743804390376103E-3</v>
      </c>
      <c r="N229" s="332"/>
      <c r="O229" s="356"/>
      <c r="P229" s="5"/>
      <c r="Q229" s="104"/>
    </row>
    <row r="230" spans="1:17" ht="15.6" x14ac:dyDescent="0.3">
      <c r="A230" s="262"/>
      <c r="B230" s="264" t="s">
        <v>230</v>
      </c>
      <c r="C230" s="354"/>
      <c r="D230" s="354"/>
      <c r="E230" s="354"/>
      <c r="F230" s="354"/>
      <c r="G230" s="354"/>
      <c r="H230" s="354"/>
      <c r="I230" s="354"/>
      <c r="J230" s="264">
        <f t="shared" si="1"/>
        <v>1</v>
      </c>
      <c r="K230" s="355">
        <f t="shared" si="2"/>
        <v>1.2391573729863693E-3</v>
      </c>
      <c r="L230" s="265">
        <f t="shared" si="3"/>
        <v>142</v>
      </c>
      <c r="M230" s="355">
        <f t="shared" si="4"/>
        <v>4.275949290854889E-3</v>
      </c>
      <c r="N230" s="332"/>
      <c r="O230" s="356"/>
      <c r="P230" s="5"/>
      <c r="Q230" s="104"/>
    </row>
    <row r="231" spans="1:17" ht="15.6" x14ac:dyDescent="0.3">
      <c r="A231" s="262"/>
      <c r="B231" s="264" t="s">
        <v>231</v>
      </c>
      <c r="C231" s="354"/>
      <c r="D231" s="354"/>
      <c r="E231" s="354"/>
      <c r="F231" s="354"/>
      <c r="G231" s="354"/>
      <c r="H231" s="354"/>
      <c r="I231" s="354"/>
      <c r="J231" s="264">
        <f t="shared" si="1"/>
        <v>3</v>
      </c>
      <c r="K231" s="355">
        <f t="shared" si="2"/>
        <v>3.7174721189591076E-3</v>
      </c>
      <c r="L231" s="265">
        <f t="shared" si="3"/>
        <v>161</v>
      </c>
      <c r="M231" s="355">
        <f t="shared" si="4"/>
        <v>4.8480833508988529E-3</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1.2391573729863693E-3</v>
      </c>
      <c r="L232" s="265">
        <f t="shared" si="3"/>
        <v>25</v>
      </c>
      <c r="M232" s="355">
        <f t="shared" si="4"/>
        <v>7.5280797374205788E-4</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6.1957868649318466E-3</v>
      </c>
      <c r="L233" s="265">
        <f t="shared" si="3"/>
        <v>1164</v>
      </c>
      <c r="M233" s="355">
        <f t="shared" si="4"/>
        <v>3.5050739257430213E-2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807</v>
      </c>
      <c r="K235" s="355">
        <f>SUM(K221:K234)</f>
        <v>1.0000000000000002</v>
      </c>
      <c r="L235" s="265">
        <f>SUM(L221:L234)</f>
        <v>33209</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766</v>
      </c>
      <c r="K238" s="355">
        <f t="shared" ref="K238:K250" si="5">J238/$J$252</f>
        <v>0.95037220843672454</v>
      </c>
      <c r="L238" s="265">
        <v>30436</v>
      </c>
      <c r="M238" s="355">
        <f t="shared" ref="M238:M250" si="6">L238/$L$252</f>
        <v>0.94468930411571173</v>
      </c>
      <c r="N238" s="332"/>
      <c r="O238" s="356"/>
      <c r="P238" s="5"/>
    </row>
    <row r="239" spans="1:17" ht="15.6" x14ac:dyDescent="0.3">
      <c r="A239" s="262"/>
      <c r="B239" s="264" t="s">
        <v>86</v>
      </c>
      <c r="C239" s="354"/>
      <c r="D239" s="354"/>
      <c r="E239" s="354"/>
      <c r="F239" s="354"/>
      <c r="G239" s="354"/>
      <c r="H239" s="354"/>
      <c r="I239" s="354"/>
      <c r="J239" s="264">
        <v>12</v>
      </c>
      <c r="K239" s="355">
        <f t="shared" si="5"/>
        <v>1.488833746898263E-2</v>
      </c>
      <c r="L239" s="265">
        <v>578</v>
      </c>
      <c r="M239" s="355">
        <f t="shared" si="6"/>
        <v>1.7940281830032902E-2</v>
      </c>
      <c r="N239" s="332"/>
      <c r="O239" s="356"/>
      <c r="P239" s="5"/>
      <c r="Q239" s="104"/>
    </row>
    <row r="240" spans="1:17" ht="15.6" x14ac:dyDescent="0.3">
      <c r="A240" s="262"/>
      <c r="B240" s="264" t="s">
        <v>87</v>
      </c>
      <c r="C240" s="354"/>
      <c r="D240" s="354"/>
      <c r="E240" s="354"/>
      <c r="F240" s="354"/>
      <c r="G240" s="354"/>
      <c r="H240" s="354"/>
      <c r="I240" s="354"/>
      <c r="J240" s="264">
        <v>7</v>
      </c>
      <c r="K240" s="355">
        <f t="shared" si="5"/>
        <v>8.6848635235732014E-3</v>
      </c>
      <c r="L240" s="265">
        <v>371</v>
      </c>
      <c r="M240" s="355">
        <f t="shared" si="6"/>
        <v>1.1515302005090322E-2</v>
      </c>
      <c r="N240" s="332"/>
      <c r="O240" s="356"/>
      <c r="P240" s="5"/>
    </row>
    <row r="241" spans="1:17" ht="15.6" x14ac:dyDescent="0.3">
      <c r="A241" s="262"/>
      <c r="B241" s="264" t="s">
        <v>145</v>
      </c>
      <c r="C241" s="354"/>
      <c r="D241" s="354"/>
      <c r="E241" s="354"/>
      <c r="F241" s="354"/>
      <c r="G241" s="354"/>
      <c r="H241" s="354"/>
      <c r="I241" s="354"/>
      <c r="J241" s="264">
        <v>1</v>
      </c>
      <c r="K241" s="355">
        <f t="shared" si="5"/>
        <v>1.2406947890818859E-3</v>
      </c>
      <c r="L241" s="265">
        <v>47</v>
      </c>
      <c r="M241" s="355">
        <f t="shared" si="6"/>
        <v>1.4588118443106337E-3</v>
      </c>
      <c r="N241" s="332"/>
      <c r="O241" s="356"/>
      <c r="P241" s="5"/>
      <c r="Q241" s="104"/>
    </row>
    <row r="242" spans="1:17" ht="15.6" x14ac:dyDescent="0.3">
      <c r="A242" s="262"/>
      <c r="B242" s="264" t="s">
        <v>146</v>
      </c>
      <c r="C242" s="354"/>
      <c r="D242" s="354"/>
      <c r="E242" s="354"/>
      <c r="F242" s="354"/>
      <c r="G242" s="354"/>
      <c r="H242" s="354"/>
      <c r="I242" s="354"/>
      <c r="J242" s="264">
        <v>3</v>
      </c>
      <c r="K242" s="355">
        <f t="shared" si="5"/>
        <v>3.7220843672456576E-3</v>
      </c>
      <c r="L242" s="265">
        <v>107</v>
      </c>
      <c r="M242" s="355">
        <f t="shared" si="6"/>
        <v>3.321124837047613E-3</v>
      </c>
      <c r="N242" s="332"/>
      <c r="O242" s="356"/>
      <c r="P242" s="5"/>
    </row>
    <row r="243" spans="1:17" ht="15.6" x14ac:dyDescent="0.3">
      <c r="A243" s="262"/>
      <c r="B243" s="264" t="s">
        <v>147</v>
      </c>
      <c r="C243" s="354"/>
      <c r="D243" s="354"/>
      <c r="E243" s="354"/>
      <c r="F243" s="354"/>
      <c r="G243" s="354"/>
      <c r="H243" s="354"/>
      <c r="I243" s="354"/>
      <c r="J243" s="264">
        <v>0</v>
      </c>
      <c r="K243" s="355">
        <f t="shared" si="5"/>
        <v>0</v>
      </c>
      <c r="L243" s="265">
        <v>0</v>
      </c>
      <c r="M243" s="355">
        <f t="shared" si="6"/>
        <v>0</v>
      </c>
      <c r="N243" s="332"/>
      <c r="O243" s="356"/>
      <c r="P243" s="5"/>
      <c r="Q243" s="104"/>
    </row>
    <row r="244" spans="1:17" ht="15.6" x14ac:dyDescent="0.3">
      <c r="A244" s="262"/>
      <c r="B244" s="264" t="s">
        <v>227</v>
      </c>
      <c r="C244" s="354"/>
      <c r="D244" s="354"/>
      <c r="E244" s="354"/>
      <c r="F244" s="354"/>
      <c r="G244" s="354"/>
      <c r="H244" s="354"/>
      <c r="I244" s="354"/>
      <c r="J244" s="264">
        <v>3</v>
      </c>
      <c r="K244" s="355">
        <f t="shared" si="5"/>
        <v>3.7220843672456576E-3</v>
      </c>
      <c r="L244" s="265">
        <v>70</v>
      </c>
      <c r="M244" s="355">
        <f t="shared" si="6"/>
        <v>2.172698491526476E-3</v>
      </c>
      <c r="N244" s="332"/>
      <c r="O244" s="356"/>
      <c r="P244" s="5"/>
    </row>
    <row r="245" spans="1:17" ht="15.6" x14ac:dyDescent="0.3">
      <c r="A245" s="262"/>
      <c r="B245" s="264" t="s">
        <v>228</v>
      </c>
      <c r="C245" s="354"/>
      <c r="D245" s="354"/>
      <c r="E245" s="354"/>
      <c r="F245" s="354"/>
      <c r="G245" s="354"/>
      <c r="H245" s="354"/>
      <c r="I245" s="354"/>
      <c r="J245" s="264">
        <v>3</v>
      </c>
      <c r="K245" s="355">
        <f t="shared" si="5"/>
        <v>3.7220843672456576E-3</v>
      </c>
      <c r="L245" s="265">
        <v>69</v>
      </c>
      <c r="M245" s="355">
        <f t="shared" si="6"/>
        <v>2.1416599416475262E-3</v>
      </c>
      <c r="N245" s="332"/>
      <c r="O245" s="356"/>
      <c r="P245" s="5"/>
      <c r="Q245" s="104"/>
    </row>
    <row r="246" spans="1:17" ht="15.6" x14ac:dyDescent="0.3">
      <c r="A246" s="262"/>
      <c r="B246" s="264" t="s">
        <v>229</v>
      </c>
      <c r="C246" s="354"/>
      <c r="D246" s="354"/>
      <c r="E246" s="354"/>
      <c r="F246" s="354"/>
      <c r="G246" s="354"/>
      <c r="H246" s="354"/>
      <c r="I246" s="354"/>
      <c r="J246" s="264">
        <v>2</v>
      </c>
      <c r="K246" s="355">
        <f t="shared" si="5"/>
        <v>2.4813895781637717E-3</v>
      </c>
      <c r="L246" s="265">
        <v>39</v>
      </c>
      <c r="M246" s="355">
        <f t="shared" si="6"/>
        <v>1.2105034452790367E-3</v>
      </c>
      <c r="N246" s="332"/>
      <c r="O246" s="356"/>
      <c r="P246" s="5"/>
      <c r="Q246" s="104"/>
    </row>
    <row r="247" spans="1:17" ht="15.6" x14ac:dyDescent="0.3">
      <c r="A247" s="262"/>
      <c r="B247" s="264" t="s">
        <v>230</v>
      </c>
      <c r="C247" s="354"/>
      <c r="D247" s="354"/>
      <c r="E247" s="354"/>
      <c r="F247" s="354"/>
      <c r="G247" s="354"/>
      <c r="H247" s="354"/>
      <c r="I247" s="354"/>
      <c r="J247" s="264">
        <v>1</v>
      </c>
      <c r="K247" s="355">
        <f t="shared" si="5"/>
        <v>1.2406947890818859E-3</v>
      </c>
      <c r="L247" s="265">
        <v>142</v>
      </c>
      <c r="M247" s="355">
        <f t="shared" si="6"/>
        <v>4.4074740828108508E-3</v>
      </c>
      <c r="N247" s="332"/>
      <c r="O247" s="356"/>
      <c r="P247" s="5"/>
      <c r="Q247" s="104"/>
    </row>
    <row r="248" spans="1:17" ht="15.6" x14ac:dyDescent="0.3">
      <c r="A248" s="262"/>
      <c r="B248" s="264" t="s">
        <v>231</v>
      </c>
      <c r="C248" s="354"/>
      <c r="D248" s="354"/>
      <c r="E248" s="354"/>
      <c r="F248" s="354"/>
      <c r="G248" s="354"/>
      <c r="H248" s="354"/>
      <c r="I248" s="354"/>
      <c r="J248" s="264">
        <v>3</v>
      </c>
      <c r="K248" s="355">
        <f t="shared" si="5"/>
        <v>3.7220843672456576E-3</v>
      </c>
      <c r="L248" s="265">
        <v>161</v>
      </c>
      <c r="M248" s="355">
        <f t="shared" si="6"/>
        <v>4.9972065305108945E-3</v>
      </c>
      <c r="N248" s="332"/>
      <c r="O248" s="356"/>
      <c r="P248" s="5"/>
      <c r="Q248" s="104"/>
    </row>
    <row r="249" spans="1:17" ht="15.6" x14ac:dyDescent="0.3">
      <c r="A249" s="262"/>
      <c r="B249" s="264" t="s">
        <v>232</v>
      </c>
      <c r="C249" s="354"/>
      <c r="D249" s="354"/>
      <c r="E249" s="354"/>
      <c r="F249" s="354"/>
      <c r="G249" s="354"/>
      <c r="H249" s="354"/>
      <c r="I249" s="354"/>
      <c r="J249" s="264">
        <v>1</v>
      </c>
      <c r="K249" s="355">
        <f t="shared" si="5"/>
        <v>1.2406947890818859E-3</v>
      </c>
      <c r="L249" s="265">
        <v>25</v>
      </c>
      <c r="M249" s="355">
        <f t="shared" si="6"/>
        <v>7.7596374697374139E-4</v>
      </c>
      <c r="N249" s="332"/>
      <c r="O249" s="356"/>
      <c r="P249" s="5"/>
      <c r="Q249" s="104"/>
    </row>
    <row r="250" spans="1:17" ht="15.6" x14ac:dyDescent="0.3">
      <c r="A250" s="262"/>
      <c r="B250" s="264" t="s">
        <v>233</v>
      </c>
      <c r="C250" s="354"/>
      <c r="D250" s="354"/>
      <c r="E250" s="354"/>
      <c r="F250" s="354"/>
      <c r="G250" s="354"/>
      <c r="H250" s="354"/>
      <c r="I250" s="354"/>
      <c r="J250" s="264">
        <v>4</v>
      </c>
      <c r="K250" s="355">
        <f t="shared" si="5"/>
        <v>4.9627791563275434E-3</v>
      </c>
      <c r="L250" s="265">
        <v>173</v>
      </c>
      <c r="M250" s="355">
        <f t="shared" si="6"/>
        <v>5.3696691290582906E-3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806</v>
      </c>
      <c r="K252" s="355">
        <f>SUM(K238:K251)</f>
        <v>0.99999999999999989</v>
      </c>
      <c r="L252" s="265">
        <f>SUM(L238:L251)</f>
        <v>32218</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1</v>
      </c>
      <c r="L284" s="265">
        <v>991</v>
      </c>
      <c r="M284" s="355">
        <f t="shared" si="8"/>
        <v>1</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1</v>
      </c>
      <c r="K286" s="355">
        <f>SUM(K272:K284)</f>
        <v>1</v>
      </c>
      <c r="L286" s="265">
        <f>SUM(L272:L284)</f>
        <v>991</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807</v>
      </c>
      <c r="K288" s="355"/>
      <c r="L288" s="359">
        <f>+L286+L269+L252</f>
        <v>33209</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MAY 2015</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53" orientation="landscape" r:id="rId1"/>
  <headerFooter alignWithMargins="0"/>
  <rowBreaks count="3" manualBreakCount="3">
    <brk id="52" max="14" man="1"/>
    <brk id="115" max="14" man="1"/>
    <brk id="182" max="14" man="1"/>
  </rowBreaks>
  <colBreaks count="1" manualBreakCount="1">
    <brk id="15" max="298"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299"/>
  <sheetViews>
    <sheetView showGridLines="0" showOutlineSymbols="0" zoomScale="80" zoomScaleNormal="8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0.1177</v>
      </c>
      <c r="L16" s="232" t="s">
        <v>133</v>
      </c>
      <c r="M16" s="231">
        <v>0.88229999999999997</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42269</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30011.8403</v>
      </c>
      <c r="E29" s="279"/>
      <c r="F29" s="279">
        <f>F28*F32</f>
        <v>1598.20047</v>
      </c>
      <c r="G29" s="279"/>
      <c r="H29" s="279">
        <f>H28*H32</f>
        <v>1598.20047</v>
      </c>
      <c r="I29" s="279"/>
      <c r="J29" s="284"/>
      <c r="K29" s="279"/>
      <c r="L29" s="279"/>
      <c r="M29" s="280"/>
      <c r="N29" s="279">
        <f>SUM(D29:H29)+1</f>
        <v>33209.241240000003</v>
      </c>
      <c r="O29" s="281"/>
      <c r="P29" s="5"/>
    </row>
    <row r="30" spans="1:16" ht="15.6" x14ac:dyDescent="0.3">
      <c r="A30" s="274"/>
      <c r="B30" s="275" t="s">
        <v>130</v>
      </c>
      <c r="C30" s="278"/>
      <c r="D30" s="285">
        <f>D28*D31</f>
        <v>27282.060800000003</v>
      </c>
      <c r="E30" s="285"/>
      <c r="F30" s="285">
        <f>F28*F31</f>
        <v>1598.20047</v>
      </c>
      <c r="G30" s="285"/>
      <c r="H30" s="285">
        <f>H28*H31</f>
        <v>1598.20047</v>
      </c>
      <c r="I30" s="285"/>
      <c r="J30" s="288"/>
      <c r="K30" s="279"/>
      <c r="L30" s="279"/>
      <c r="M30" s="280"/>
      <c r="N30" s="285">
        <f>SUM(D30:I30)+1</f>
        <v>30479.461740000002</v>
      </c>
      <c r="O30" s="281"/>
      <c r="P30" s="5"/>
    </row>
    <row r="31" spans="1:16" ht="15.6" x14ac:dyDescent="0.3">
      <c r="A31" s="262"/>
      <c r="B31" s="290" t="s">
        <v>126</v>
      </c>
      <c r="C31" s="291"/>
      <c r="D31" s="292">
        <v>0.10472960000000001</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0.11520859999999999</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8.1124999999999999E-3</v>
      </c>
      <c r="E34" s="297"/>
      <c r="F34" s="298">
        <v>9.3124999999999996E-3</v>
      </c>
      <c r="G34" s="297"/>
      <c r="H34" s="298">
        <v>1.13125E-2</v>
      </c>
      <c r="I34" s="297"/>
      <c r="J34" s="298"/>
      <c r="K34" s="297"/>
      <c r="L34" s="298"/>
      <c r="M34" s="268"/>
      <c r="N34" s="297">
        <f>SUMPRODUCT(D34:H34,D29:H29)/N29</f>
        <v>8.3240064754788699E-3</v>
      </c>
      <c r="O34" s="266"/>
      <c r="P34" s="5"/>
    </row>
    <row r="35" spans="1:17" ht="15.6" x14ac:dyDescent="0.3">
      <c r="A35" s="274"/>
      <c r="B35" s="263" t="s">
        <v>11</v>
      </c>
      <c r="C35" s="263"/>
      <c r="D35" s="298">
        <v>8.0400000000000003E-3</v>
      </c>
      <c r="E35" s="297"/>
      <c r="F35" s="298">
        <v>9.2399999999999999E-3</v>
      </c>
      <c r="G35" s="297"/>
      <c r="H35" s="298">
        <v>1.124E-2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0.11716127177606758</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42262</v>
      </c>
      <c r="O45" s="266"/>
      <c r="P45" s="5"/>
    </row>
    <row r="46" spans="1:17" ht="15.6" x14ac:dyDescent="0.3">
      <c r="A46" s="274"/>
      <c r="B46" s="263" t="s">
        <v>119</v>
      </c>
      <c r="C46" s="263"/>
      <c r="D46" s="305"/>
      <c r="E46" s="305"/>
      <c r="F46" s="305"/>
      <c r="G46" s="305"/>
      <c r="H46" s="305"/>
      <c r="I46" s="305"/>
      <c r="J46" s="263">
        <f>+N46-L46+1</f>
        <v>91</v>
      </c>
      <c r="K46" s="305"/>
      <c r="L46" s="306">
        <v>42079</v>
      </c>
      <c r="M46" s="307"/>
      <c r="N46" s="306">
        <v>42169</v>
      </c>
      <c r="O46" s="266"/>
      <c r="P46" s="5"/>
    </row>
    <row r="47" spans="1:17" ht="15.6" x14ac:dyDescent="0.3">
      <c r="A47" s="274"/>
      <c r="B47" s="263" t="s">
        <v>120</v>
      </c>
      <c r="C47" s="263"/>
      <c r="D47" s="263"/>
      <c r="E47" s="263"/>
      <c r="F47" s="263"/>
      <c r="G47" s="263"/>
      <c r="H47" s="263"/>
      <c r="I47" s="263"/>
      <c r="J47" s="263">
        <f>+N47-L47+1</f>
        <v>92</v>
      </c>
      <c r="K47" s="263"/>
      <c r="L47" s="306">
        <v>42170</v>
      </c>
      <c r="M47" s="307"/>
      <c r="N47" s="306">
        <v>42261</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42248</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284</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33209</v>
      </c>
      <c r="G56" s="264"/>
      <c r="H56" s="264">
        <v>2730</v>
      </c>
      <c r="I56" s="264"/>
      <c r="J56" s="264">
        <v>0</v>
      </c>
      <c r="K56" s="264"/>
      <c r="L56" s="264">
        <v>0</v>
      </c>
      <c r="M56" s="264"/>
      <c r="N56" s="265">
        <f>+F56-H56+J56-L56</f>
        <v>30479</v>
      </c>
      <c r="O56" s="266"/>
      <c r="P56" s="5"/>
    </row>
    <row r="57" spans="1:16" ht="15.6" x14ac:dyDescent="0.3">
      <c r="A57" s="262"/>
      <c r="B57" s="263" t="s">
        <v>209</v>
      </c>
      <c r="C57" s="264"/>
      <c r="D57" s="264">
        <v>756</v>
      </c>
      <c r="E57" s="264"/>
      <c r="F57" s="265">
        <v>251</v>
      </c>
      <c r="G57" s="264"/>
      <c r="H57" s="264">
        <v>18</v>
      </c>
      <c r="I57" s="264"/>
      <c r="J57" s="264">
        <v>0</v>
      </c>
      <c r="K57" s="264"/>
      <c r="L57" s="264">
        <v>0</v>
      </c>
      <c r="M57" s="264"/>
      <c r="N57" s="265">
        <f>+F57-H57</f>
        <v>233</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33460</v>
      </c>
      <c r="G59" s="264"/>
      <c r="H59" s="264">
        <f>SUM(H56:H58)</f>
        <v>2748</v>
      </c>
      <c r="I59" s="264"/>
      <c r="J59" s="264">
        <f>SUM(J56:J58)</f>
        <v>0</v>
      </c>
      <c r="K59" s="264"/>
      <c r="L59" s="264">
        <f>SUM(L56:L58)</f>
        <v>0</v>
      </c>
      <c r="M59" s="264"/>
      <c r="N59" s="264">
        <f>SUM(N56:N58)</f>
        <v>30712</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-251</v>
      </c>
      <c r="G68" s="264"/>
      <c r="H68" s="264"/>
      <c r="I68" s="264"/>
      <c r="J68" s="264"/>
      <c r="K68" s="264"/>
      <c r="L68" s="264"/>
      <c r="M68" s="264"/>
      <c r="N68" s="265">
        <f>-N57</f>
        <v>-233</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33209</v>
      </c>
      <c r="G72" s="264"/>
      <c r="H72" s="264"/>
      <c r="I72" s="264"/>
      <c r="J72" s="264"/>
      <c r="K72" s="264"/>
      <c r="L72" s="264"/>
      <c r="M72" s="264"/>
      <c r="N72" s="264">
        <f>SUM(N59:N71)</f>
        <v>30479</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42244</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2730+10</f>
        <v>2740</v>
      </c>
      <c r="M77" s="263"/>
      <c r="N77" s="265"/>
      <c r="O77" s="266"/>
      <c r="P77" s="5"/>
    </row>
    <row r="78" spans="1:16" ht="15.6" x14ac:dyDescent="0.3">
      <c r="A78" s="262"/>
      <c r="B78" s="263" t="s">
        <v>176</v>
      </c>
      <c r="C78" s="263"/>
      <c r="D78" s="300"/>
      <c r="E78" s="263"/>
      <c r="F78" s="309"/>
      <c r="G78" s="263"/>
      <c r="H78" s="263"/>
      <c r="I78" s="263"/>
      <c r="J78" s="263"/>
      <c r="K78" s="263"/>
      <c r="L78" s="264"/>
      <c r="M78" s="263"/>
      <c r="N78" s="265">
        <f>692+66+610-482-33-521</f>
        <v>332</v>
      </c>
      <c r="O78" s="266"/>
      <c r="P78" s="5"/>
    </row>
    <row r="79" spans="1:16" ht="15.6" x14ac:dyDescent="0.3">
      <c r="A79" s="262"/>
      <c r="B79" s="263" t="s">
        <v>174</v>
      </c>
      <c r="C79" s="263"/>
      <c r="D79" s="300"/>
      <c r="E79" s="263"/>
      <c r="F79" s="309"/>
      <c r="G79" s="263"/>
      <c r="H79" s="263"/>
      <c r="I79" s="263"/>
      <c r="J79" s="263"/>
      <c r="K79" s="263"/>
      <c r="L79" s="264"/>
      <c r="M79" s="263"/>
      <c r="N79" s="265">
        <f>27+1+58</f>
        <v>86</v>
      </c>
      <c r="O79" s="266"/>
      <c r="P79" s="5"/>
    </row>
    <row r="80" spans="1:16" ht="15.6" x14ac:dyDescent="0.3">
      <c r="A80" s="262"/>
      <c r="B80" s="263" t="s">
        <v>175</v>
      </c>
      <c r="C80" s="263"/>
      <c r="D80" s="300"/>
      <c r="E80" s="263"/>
      <c r="F80" s="309"/>
      <c r="G80" s="263"/>
      <c r="H80" s="263"/>
      <c r="I80" s="263"/>
      <c r="J80" s="263"/>
      <c r="K80" s="263"/>
      <c r="L80" s="264"/>
      <c r="M80" s="263"/>
      <c r="N80" s="265">
        <v>3</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2740</v>
      </c>
      <c r="M83" s="263"/>
      <c r="N83" s="264">
        <f>SUM(N76:N82)</f>
        <v>421</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2740</v>
      </c>
      <c r="M87" s="263"/>
      <c r="N87" s="264">
        <f>N83+N85+N84+N86</f>
        <v>421</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-13-1-93</f>
        <v>-107</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-61</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-10</v>
      </c>
      <c r="M98" s="263"/>
      <c r="N98" s="265">
        <v>10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-13</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-233</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-2730</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-2730</v>
      </c>
      <c r="M111" s="264"/>
      <c r="N111" s="264">
        <f>SUM(N88:N109)</f>
        <v>-421</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AUGUST 2015</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-10</v>
      </c>
      <c r="O144" s="266"/>
      <c r="P144" s="5"/>
    </row>
    <row r="145" spans="1:256" ht="15.6" x14ac:dyDescent="0.3">
      <c r="A145" s="262"/>
      <c r="B145" s="263" t="s">
        <v>51</v>
      </c>
      <c r="C145" s="263"/>
      <c r="D145" s="263"/>
      <c r="E145" s="263"/>
      <c r="F145" s="263"/>
      <c r="G145" s="263"/>
      <c r="H145" s="263"/>
      <c r="I145" s="263"/>
      <c r="J145" s="263"/>
      <c r="K145" s="263"/>
      <c r="L145" s="263"/>
      <c r="M145" s="263"/>
      <c r="N145" s="265">
        <f>+N143+N144</f>
        <v>-10</v>
      </c>
      <c r="O145" s="266"/>
      <c r="P145" s="5"/>
    </row>
    <row r="146" spans="1:256" ht="15.6" x14ac:dyDescent="0.3">
      <c r="A146" s="262"/>
      <c r="B146" s="263" t="s">
        <v>264</v>
      </c>
      <c r="C146" s="263"/>
      <c r="D146" s="263"/>
      <c r="E146" s="263"/>
      <c r="F146" s="263"/>
      <c r="G146" s="263"/>
      <c r="H146" s="263"/>
      <c r="I146" s="263"/>
      <c r="J146" s="263"/>
      <c r="K146" s="263"/>
      <c r="L146" s="263"/>
      <c r="M146" s="263"/>
      <c r="N146" s="265">
        <f>N98</f>
        <v>10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30479</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30479</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+'May 15'!N161</f>
        <v>251</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18</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233</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+'May 15'!L168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5.1147540983606561</v>
      </c>
      <c r="O173" s="266" t="s">
        <v>115</v>
      </c>
      <c r="P173" s="5"/>
    </row>
    <row r="174" spans="1:256" ht="15.6" x14ac:dyDescent="0.3">
      <c r="A174" s="262"/>
      <c r="B174" s="263" t="s">
        <v>63</v>
      </c>
      <c r="C174" s="263"/>
      <c r="D174" s="263"/>
      <c r="E174" s="263"/>
      <c r="F174" s="263"/>
      <c r="G174" s="263"/>
      <c r="H174" s="263"/>
      <c r="I174" s="263"/>
      <c r="J174" s="263"/>
      <c r="K174" s="263"/>
      <c r="L174" s="263"/>
      <c r="M174" s="263"/>
      <c r="N174" s="315">
        <v>2.15</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62.75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49.53</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61.75</v>
      </c>
      <c r="O177" s="266" t="s">
        <v>115</v>
      </c>
      <c r="P177" s="5"/>
    </row>
    <row r="178" spans="1:16" ht="15.6" x14ac:dyDescent="0.3">
      <c r="A178" s="262"/>
      <c r="B178" s="263" t="s">
        <v>167</v>
      </c>
      <c r="C178" s="263"/>
      <c r="D178" s="263"/>
      <c r="E178" s="263"/>
      <c r="F178" s="263"/>
      <c r="G178" s="263"/>
      <c r="H178" s="263"/>
      <c r="I178" s="263"/>
      <c r="J178" s="263"/>
      <c r="K178" s="263"/>
      <c r="L178" s="263"/>
      <c r="M178" s="263"/>
      <c r="N178" s="315">
        <v>46.69</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AUGUST 2015</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42244</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4.7419999999999997E-2</v>
      </c>
      <c r="M188" s="263"/>
      <c r="N188" s="263"/>
      <c r="O188" s="266"/>
      <c r="P188" s="5"/>
    </row>
    <row r="189" spans="1:16" ht="15.6" x14ac:dyDescent="0.3">
      <c r="A189" s="321"/>
      <c r="B189" s="263" t="s">
        <v>212</v>
      </c>
      <c r="C189" s="322"/>
      <c r="D189" s="303"/>
      <c r="E189" s="303"/>
      <c r="F189" s="303"/>
      <c r="G189" s="303"/>
      <c r="H189" s="303"/>
      <c r="I189" s="303"/>
      <c r="J189" s="303"/>
      <c r="K189" s="303"/>
      <c r="L189" s="297">
        <f>N34</f>
        <v>8.3240064754788699E-3</v>
      </c>
      <c r="M189" s="263"/>
      <c r="N189" s="263"/>
      <c r="O189" s="266"/>
      <c r="P189" s="5"/>
    </row>
    <row r="190" spans="1:16" ht="15.6" x14ac:dyDescent="0.3">
      <c r="A190" s="321"/>
      <c r="B190" s="263" t="s">
        <v>70</v>
      </c>
      <c r="C190" s="322"/>
      <c r="D190" s="303"/>
      <c r="E190" s="303"/>
      <c r="F190" s="303"/>
      <c r="G190" s="303"/>
      <c r="H190" s="303"/>
      <c r="I190" s="303"/>
      <c r="J190" s="303"/>
      <c r="K190" s="303"/>
      <c r="L190" s="297">
        <f>L188-L189</f>
        <v>3.909599352452113E-2</v>
      </c>
      <c r="M190" s="263"/>
      <c r="N190" s="263"/>
      <c r="O190" s="266"/>
      <c r="P190" s="5"/>
    </row>
    <row r="191" spans="1:16" ht="15.6" x14ac:dyDescent="0.3">
      <c r="A191" s="321"/>
      <c r="B191" s="263" t="s">
        <v>203</v>
      </c>
      <c r="C191" s="322"/>
      <c r="D191" s="303"/>
      <c r="E191" s="303"/>
      <c r="F191" s="303"/>
      <c r="G191" s="303"/>
      <c r="H191" s="303"/>
      <c r="I191" s="303"/>
      <c r="J191" s="303"/>
      <c r="K191" s="303"/>
      <c r="L191" s="297">
        <f>+N87/F59</f>
        <v>1.2582187686790198E-2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4.5599999999999996</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8.2206630732632721E-2</v>
      </c>
      <c r="M197" s="263"/>
      <c r="N197" s="263"/>
      <c r="O197" s="266"/>
      <c r="P197" s="5"/>
    </row>
    <row r="198" spans="1:16" ht="15.6" x14ac:dyDescent="0.3">
      <c r="A198" s="321"/>
      <c r="B198" s="263" t="s">
        <v>74</v>
      </c>
      <c r="C198" s="322"/>
      <c r="D198" s="303"/>
      <c r="E198" s="303"/>
      <c r="F198" s="303"/>
      <c r="G198" s="303"/>
      <c r="H198" s="303"/>
      <c r="I198" s="303"/>
      <c r="J198" s="303"/>
      <c r="K198" s="303"/>
      <c r="L198" s="297">
        <v>0.26889999999999997</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10</v>
      </c>
      <c r="L201" s="331">
        <v>458</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2</v>
      </c>
      <c r="L203" s="331">
        <f>+L286</f>
        <v>1015</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-10</v>
      </c>
      <c r="M207" s="291"/>
      <c r="N207" s="337"/>
      <c r="O207" s="342"/>
      <c r="P207" s="5"/>
    </row>
    <row r="208" spans="1:16" ht="15.6" x14ac:dyDescent="0.3">
      <c r="A208" s="330"/>
      <c r="B208" s="263" t="s">
        <v>82</v>
      </c>
      <c r="C208" s="264"/>
      <c r="D208" s="263"/>
      <c r="E208" s="263"/>
      <c r="F208" s="263"/>
      <c r="G208" s="263"/>
      <c r="H208" s="263"/>
      <c r="I208" s="263"/>
      <c r="J208" s="263"/>
      <c r="K208" s="276"/>
      <c r="L208" s="331">
        <f>'May 15'!L208+L207</f>
        <v>44</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709</v>
      </c>
      <c r="K221" s="355">
        <f t="shared" ref="K221:K233" si="2">J221/$J$235</f>
        <v>0.94786096256684493</v>
      </c>
      <c r="L221" s="265">
        <f t="shared" ref="L221:L233" si="3">+L238+L255+L272</f>
        <v>27886</v>
      </c>
      <c r="M221" s="355">
        <f t="shared" ref="M221:M233" si="4">L221/$L$235</f>
        <v>0.91492503034876471</v>
      </c>
      <c r="N221" s="332"/>
      <c r="O221" s="356"/>
      <c r="P221" s="5"/>
    </row>
    <row r="222" spans="1:17" ht="15.6" x14ac:dyDescent="0.3">
      <c r="A222" s="262"/>
      <c r="B222" s="264" t="s">
        <v>86</v>
      </c>
      <c r="C222" s="354"/>
      <c r="D222" s="354"/>
      <c r="E222" s="354"/>
      <c r="F222" s="354"/>
      <c r="G222" s="354"/>
      <c r="H222" s="354"/>
      <c r="I222" s="354"/>
      <c r="J222" s="264">
        <f t="shared" si="1"/>
        <v>10</v>
      </c>
      <c r="K222" s="355">
        <f t="shared" si="2"/>
        <v>1.3368983957219251E-2</v>
      </c>
      <c r="L222" s="265">
        <f t="shared" si="3"/>
        <v>468</v>
      </c>
      <c r="M222" s="355">
        <f t="shared" si="4"/>
        <v>1.5354834476196726E-2</v>
      </c>
      <c r="N222" s="332"/>
      <c r="O222" s="356"/>
      <c r="P222" s="5"/>
      <c r="Q222" s="104"/>
    </row>
    <row r="223" spans="1:17" ht="15.6" x14ac:dyDescent="0.3">
      <c r="A223" s="262"/>
      <c r="B223" s="264" t="s">
        <v>87</v>
      </c>
      <c r="C223" s="354"/>
      <c r="D223" s="354"/>
      <c r="E223" s="354"/>
      <c r="F223" s="354"/>
      <c r="G223" s="354"/>
      <c r="H223" s="354"/>
      <c r="I223" s="354"/>
      <c r="J223" s="264">
        <f t="shared" si="1"/>
        <v>8</v>
      </c>
      <c r="K223" s="355">
        <f t="shared" si="2"/>
        <v>1.06951871657754E-2</v>
      </c>
      <c r="L223" s="265">
        <f t="shared" si="3"/>
        <v>360</v>
      </c>
      <c r="M223" s="355">
        <f t="shared" si="4"/>
        <v>1.1811411135535943E-2</v>
      </c>
      <c r="N223" s="332"/>
      <c r="O223" s="356"/>
      <c r="P223" s="5"/>
    </row>
    <row r="224" spans="1:17" ht="15.6" x14ac:dyDescent="0.3">
      <c r="A224" s="262"/>
      <c r="B224" s="264" t="s">
        <v>145</v>
      </c>
      <c r="C224" s="354"/>
      <c r="D224" s="354"/>
      <c r="E224" s="354"/>
      <c r="F224" s="354"/>
      <c r="G224" s="354"/>
      <c r="H224" s="354"/>
      <c r="I224" s="354"/>
      <c r="J224" s="264">
        <f t="shared" si="1"/>
        <v>1</v>
      </c>
      <c r="K224" s="355">
        <f t="shared" si="2"/>
        <v>1.3368983957219251E-3</v>
      </c>
      <c r="L224" s="265">
        <f t="shared" si="3"/>
        <v>34</v>
      </c>
      <c r="M224" s="355">
        <f t="shared" si="4"/>
        <v>1.1155221628006168E-3</v>
      </c>
      <c r="N224" s="332"/>
      <c r="O224" s="356"/>
      <c r="P224" s="5"/>
      <c r="Q224" s="104"/>
    </row>
    <row r="225" spans="1:17" ht="15.6" x14ac:dyDescent="0.3">
      <c r="A225" s="262"/>
      <c r="B225" s="264" t="s">
        <v>146</v>
      </c>
      <c r="C225" s="354"/>
      <c r="D225" s="354"/>
      <c r="E225" s="354"/>
      <c r="F225" s="354"/>
      <c r="G225" s="354"/>
      <c r="H225" s="354"/>
      <c r="I225" s="354"/>
      <c r="J225" s="264">
        <f t="shared" si="1"/>
        <v>4</v>
      </c>
      <c r="K225" s="355">
        <f t="shared" si="2"/>
        <v>5.3475935828877002E-3</v>
      </c>
      <c r="L225" s="265">
        <f t="shared" si="3"/>
        <v>129</v>
      </c>
      <c r="M225" s="355">
        <f t="shared" si="4"/>
        <v>4.232422323567046E-3</v>
      </c>
      <c r="N225" s="332"/>
      <c r="O225" s="356"/>
      <c r="P225" s="5"/>
    </row>
    <row r="226" spans="1:17" ht="15.6" x14ac:dyDescent="0.3">
      <c r="A226" s="262"/>
      <c r="B226" s="264" t="s">
        <v>147</v>
      </c>
      <c r="C226" s="354"/>
      <c r="D226" s="354"/>
      <c r="E226" s="354"/>
      <c r="F226" s="354"/>
      <c r="G226" s="354"/>
      <c r="H226" s="354"/>
      <c r="I226" s="354"/>
      <c r="J226" s="264">
        <f t="shared" si="1"/>
        <v>0</v>
      </c>
      <c r="K226" s="355">
        <f t="shared" si="2"/>
        <v>0</v>
      </c>
      <c r="L226" s="265">
        <f t="shared" si="3"/>
        <v>0</v>
      </c>
      <c r="M226" s="355">
        <f t="shared" si="4"/>
        <v>0</v>
      </c>
      <c r="N226" s="332"/>
      <c r="O226" s="356"/>
      <c r="P226" s="5"/>
      <c r="Q226" s="104"/>
    </row>
    <row r="227" spans="1:17" ht="15.6" x14ac:dyDescent="0.3">
      <c r="A227" s="262"/>
      <c r="B227" s="264" t="s">
        <v>227</v>
      </c>
      <c r="C227" s="354"/>
      <c r="D227" s="354"/>
      <c r="E227" s="354"/>
      <c r="F227" s="354"/>
      <c r="G227" s="354"/>
      <c r="H227" s="354"/>
      <c r="I227" s="354"/>
      <c r="J227" s="264">
        <f t="shared" si="1"/>
        <v>3</v>
      </c>
      <c r="K227" s="355">
        <f t="shared" si="2"/>
        <v>4.0106951871657758E-3</v>
      </c>
      <c r="L227" s="265">
        <f t="shared" si="3"/>
        <v>123</v>
      </c>
      <c r="M227" s="355">
        <f t="shared" si="4"/>
        <v>4.0355654713081137E-3</v>
      </c>
      <c r="N227" s="332"/>
      <c r="O227" s="356"/>
      <c r="P227" s="5"/>
    </row>
    <row r="228" spans="1:17" ht="15.6" x14ac:dyDescent="0.3">
      <c r="A228" s="262"/>
      <c r="B228" s="264" t="s">
        <v>228</v>
      </c>
      <c r="C228" s="354"/>
      <c r="D228" s="354"/>
      <c r="E228" s="354"/>
      <c r="F228" s="354"/>
      <c r="G228" s="354"/>
      <c r="H228" s="354"/>
      <c r="I228" s="354"/>
      <c r="J228" s="264">
        <f t="shared" si="1"/>
        <v>2</v>
      </c>
      <c r="K228" s="355">
        <f t="shared" si="2"/>
        <v>2.6737967914438501E-3</v>
      </c>
      <c r="L228" s="265">
        <f t="shared" si="3"/>
        <v>59</v>
      </c>
      <c r="M228" s="355">
        <f t="shared" si="4"/>
        <v>1.935759047212835E-3</v>
      </c>
      <c r="N228" s="332"/>
      <c r="O228" s="356"/>
      <c r="P228" s="5"/>
      <c r="Q228" s="104"/>
    </row>
    <row r="229" spans="1:17" ht="15.6" x14ac:dyDescent="0.3">
      <c r="A229" s="262"/>
      <c r="B229" s="264" t="s">
        <v>229</v>
      </c>
      <c r="C229" s="354"/>
      <c r="D229" s="354"/>
      <c r="E229" s="354"/>
      <c r="F229" s="354"/>
      <c r="G229" s="354"/>
      <c r="H229" s="354"/>
      <c r="I229" s="354"/>
      <c r="J229" s="264">
        <f t="shared" si="1"/>
        <v>2</v>
      </c>
      <c r="K229" s="355">
        <f t="shared" si="2"/>
        <v>2.6737967914438501E-3</v>
      </c>
      <c r="L229" s="265">
        <f t="shared" si="3"/>
        <v>42</v>
      </c>
      <c r="M229" s="355">
        <f t="shared" si="4"/>
        <v>1.3779979658125267E-3</v>
      </c>
      <c r="N229" s="332"/>
      <c r="O229" s="356"/>
      <c r="P229" s="5"/>
      <c r="Q229" s="104"/>
    </row>
    <row r="230" spans="1:17" ht="15.6" x14ac:dyDescent="0.3">
      <c r="A230" s="262"/>
      <c r="B230" s="264" t="s">
        <v>230</v>
      </c>
      <c r="C230" s="354"/>
      <c r="D230" s="354"/>
      <c r="E230" s="354"/>
      <c r="F230" s="354"/>
      <c r="G230" s="354"/>
      <c r="H230" s="354"/>
      <c r="I230" s="354"/>
      <c r="J230" s="264">
        <f t="shared" si="1"/>
        <v>1</v>
      </c>
      <c r="K230" s="355">
        <f t="shared" si="2"/>
        <v>1.3368983957219251E-3</v>
      </c>
      <c r="L230" s="265">
        <f t="shared" si="3"/>
        <v>142</v>
      </c>
      <c r="M230" s="355">
        <f t="shared" si="4"/>
        <v>4.6589455034613996E-3</v>
      </c>
      <c r="N230" s="332"/>
      <c r="O230" s="356"/>
      <c r="P230" s="5"/>
      <c r="Q230" s="104"/>
    </row>
    <row r="231" spans="1:17" ht="15.6" x14ac:dyDescent="0.3">
      <c r="A231" s="262"/>
      <c r="B231" s="264" t="s">
        <v>231</v>
      </c>
      <c r="C231" s="354"/>
      <c r="D231" s="354"/>
      <c r="E231" s="354"/>
      <c r="F231" s="354"/>
      <c r="G231" s="354"/>
      <c r="H231" s="354"/>
      <c r="I231" s="354"/>
      <c r="J231" s="264">
        <f t="shared" si="1"/>
        <v>1</v>
      </c>
      <c r="K231" s="355">
        <f t="shared" si="2"/>
        <v>1.3368983957219251E-3</v>
      </c>
      <c r="L231" s="265">
        <f t="shared" si="3"/>
        <v>36</v>
      </c>
      <c r="M231" s="355">
        <f t="shared" si="4"/>
        <v>1.1811411135535942E-3</v>
      </c>
      <c r="N231" s="332"/>
      <c r="O231" s="356"/>
      <c r="P231" s="5"/>
      <c r="Q231" s="104"/>
    </row>
    <row r="232" spans="1:17" ht="15.6" x14ac:dyDescent="0.3">
      <c r="A232" s="262"/>
      <c r="B232" s="264" t="s">
        <v>232</v>
      </c>
      <c r="C232" s="354"/>
      <c r="D232" s="354"/>
      <c r="E232" s="354"/>
      <c r="F232" s="354"/>
      <c r="G232" s="354"/>
      <c r="H232" s="354"/>
      <c r="I232" s="354"/>
      <c r="J232" s="264">
        <f t="shared" si="1"/>
        <v>2</v>
      </c>
      <c r="K232" s="355">
        <f t="shared" si="2"/>
        <v>2.6737967914438501E-3</v>
      </c>
      <c r="L232" s="265">
        <f t="shared" si="3"/>
        <v>37</v>
      </c>
      <c r="M232" s="355">
        <f t="shared" si="4"/>
        <v>1.213950588930083E-3</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6.6844919786096255E-3</v>
      </c>
      <c r="L233" s="265">
        <f t="shared" si="3"/>
        <v>1163</v>
      </c>
      <c r="M233" s="355">
        <f t="shared" si="4"/>
        <v>3.8157419862856395E-2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748</v>
      </c>
      <c r="K235" s="355">
        <f>SUM(K221:K234)</f>
        <v>1.0000000000000002</v>
      </c>
      <c r="L235" s="265">
        <f>SUM(L221:L234)</f>
        <v>30479</v>
      </c>
      <c r="M235" s="355">
        <f>SUM(M221:M234)</f>
        <v>0.99999999999999989</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708</v>
      </c>
      <c r="K238" s="355">
        <f t="shared" ref="K238:K250" si="5">J238/$J$252</f>
        <v>0.94906166219839139</v>
      </c>
      <c r="L238" s="265">
        <v>27862</v>
      </c>
      <c r="M238" s="355">
        <f t="shared" ref="M238:M250" si="6">L238/$L$252</f>
        <v>0.94562856367092041</v>
      </c>
      <c r="N238" s="332"/>
      <c r="O238" s="356"/>
      <c r="P238" s="5"/>
    </row>
    <row r="239" spans="1:17" ht="15.6" x14ac:dyDescent="0.3">
      <c r="A239" s="262"/>
      <c r="B239" s="264" t="s">
        <v>86</v>
      </c>
      <c r="C239" s="354"/>
      <c r="D239" s="354"/>
      <c r="E239" s="354"/>
      <c r="F239" s="354"/>
      <c r="G239" s="354"/>
      <c r="H239" s="354"/>
      <c r="I239" s="354"/>
      <c r="J239" s="264">
        <v>10</v>
      </c>
      <c r="K239" s="355">
        <f t="shared" si="5"/>
        <v>1.3404825737265416E-2</v>
      </c>
      <c r="L239" s="265">
        <v>468</v>
      </c>
      <c r="M239" s="355">
        <f t="shared" si="6"/>
        <v>1.5883790388270431E-2</v>
      </c>
      <c r="N239" s="332"/>
      <c r="O239" s="356"/>
      <c r="P239" s="5"/>
      <c r="Q239" s="104"/>
    </row>
    <row r="240" spans="1:17" ht="15.6" x14ac:dyDescent="0.3">
      <c r="A240" s="262"/>
      <c r="B240" s="264" t="s">
        <v>87</v>
      </c>
      <c r="C240" s="354"/>
      <c r="D240" s="354"/>
      <c r="E240" s="354"/>
      <c r="F240" s="354"/>
      <c r="G240" s="354"/>
      <c r="H240" s="354"/>
      <c r="I240" s="354"/>
      <c r="J240" s="264">
        <v>8</v>
      </c>
      <c r="K240" s="355">
        <f t="shared" si="5"/>
        <v>1.0723860589812333E-2</v>
      </c>
      <c r="L240" s="265">
        <v>360</v>
      </c>
      <c r="M240" s="355">
        <f t="shared" si="6"/>
        <v>1.2218300298669563E-2</v>
      </c>
      <c r="N240" s="332"/>
      <c r="O240" s="356"/>
      <c r="P240" s="5"/>
    </row>
    <row r="241" spans="1:17" ht="15.6" x14ac:dyDescent="0.3">
      <c r="A241" s="262"/>
      <c r="B241" s="264" t="s">
        <v>145</v>
      </c>
      <c r="C241" s="354"/>
      <c r="D241" s="354"/>
      <c r="E241" s="354"/>
      <c r="F241" s="354"/>
      <c r="G241" s="354"/>
      <c r="H241" s="354"/>
      <c r="I241" s="354"/>
      <c r="J241" s="264">
        <v>1</v>
      </c>
      <c r="K241" s="355">
        <f t="shared" si="5"/>
        <v>1.3404825737265416E-3</v>
      </c>
      <c r="L241" s="265">
        <v>34</v>
      </c>
      <c r="M241" s="355">
        <f t="shared" si="6"/>
        <v>1.1539505837632365E-3</v>
      </c>
      <c r="N241" s="332"/>
      <c r="O241" s="356"/>
      <c r="P241" s="5"/>
      <c r="Q241" s="104"/>
    </row>
    <row r="242" spans="1:17" ht="15.6" x14ac:dyDescent="0.3">
      <c r="A242" s="262"/>
      <c r="B242" s="264" t="s">
        <v>146</v>
      </c>
      <c r="C242" s="354"/>
      <c r="D242" s="354"/>
      <c r="E242" s="354"/>
      <c r="F242" s="354"/>
      <c r="G242" s="354"/>
      <c r="H242" s="354"/>
      <c r="I242" s="354"/>
      <c r="J242" s="264">
        <v>4</v>
      </c>
      <c r="K242" s="355">
        <f t="shared" si="5"/>
        <v>5.3619302949061663E-3</v>
      </c>
      <c r="L242" s="265">
        <v>129</v>
      </c>
      <c r="M242" s="355">
        <f t="shared" si="6"/>
        <v>4.3782242736899266E-3</v>
      </c>
      <c r="N242" s="332"/>
      <c r="O242" s="356"/>
      <c r="P242" s="5"/>
    </row>
    <row r="243" spans="1:17" ht="15.6" x14ac:dyDescent="0.3">
      <c r="A243" s="262"/>
      <c r="B243" s="264" t="s">
        <v>147</v>
      </c>
      <c r="C243" s="354"/>
      <c r="D243" s="354"/>
      <c r="E243" s="354"/>
      <c r="F243" s="354"/>
      <c r="G243" s="354"/>
      <c r="H243" s="354"/>
      <c r="I243" s="354"/>
      <c r="J243" s="264">
        <v>0</v>
      </c>
      <c r="K243" s="355">
        <f t="shared" si="5"/>
        <v>0</v>
      </c>
      <c r="L243" s="265">
        <v>0</v>
      </c>
      <c r="M243" s="355">
        <f t="shared" si="6"/>
        <v>0</v>
      </c>
      <c r="N243" s="332"/>
      <c r="O243" s="356"/>
      <c r="P243" s="5"/>
      <c r="Q243" s="104"/>
    </row>
    <row r="244" spans="1:17" ht="15.6" x14ac:dyDescent="0.3">
      <c r="A244" s="262"/>
      <c r="B244" s="264" t="s">
        <v>227</v>
      </c>
      <c r="C244" s="354"/>
      <c r="D244" s="354"/>
      <c r="E244" s="354"/>
      <c r="F244" s="354"/>
      <c r="G244" s="354"/>
      <c r="H244" s="354"/>
      <c r="I244" s="354"/>
      <c r="J244" s="264">
        <v>3</v>
      </c>
      <c r="K244" s="355">
        <f t="shared" si="5"/>
        <v>4.0214477211796247E-3</v>
      </c>
      <c r="L244" s="265">
        <v>123</v>
      </c>
      <c r="M244" s="355">
        <f t="shared" si="6"/>
        <v>4.1745859353787673E-3</v>
      </c>
      <c r="N244" s="332"/>
      <c r="O244" s="356"/>
      <c r="P244" s="5"/>
    </row>
    <row r="245" spans="1:17" ht="15.6" x14ac:dyDescent="0.3">
      <c r="A245" s="262"/>
      <c r="B245" s="264" t="s">
        <v>228</v>
      </c>
      <c r="C245" s="354"/>
      <c r="D245" s="354"/>
      <c r="E245" s="354"/>
      <c r="F245" s="354"/>
      <c r="G245" s="354"/>
      <c r="H245" s="354"/>
      <c r="I245" s="354"/>
      <c r="J245" s="264">
        <v>2</v>
      </c>
      <c r="K245" s="355">
        <f t="shared" si="5"/>
        <v>2.6809651474530832E-3</v>
      </c>
      <c r="L245" s="265">
        <v>59</v>
      </c>
      <c r="M245" s="355">
        <f t="shared" si="6"/>
        <v>2.0024436600597339E-3</v>
      </c>
      <c r="N245" s="332"/>
      <c r="O245" s="356"/>
      <c r="P245" s="5"/>
      <c r="Q245" s="104"/>
    </row>
    <row r="246" spans="1:17" ht="15.6" x14ac:dyDescent="0.3">
      <c r="A246" s="262"/>
      <c r="B246" s="264" t="s">
        <v>229</v>
      </c>
      <c r="C246" s="354"/>
      <c r="D246" s="354"/>
      <c r="E246" s="354"/>
      <c r="F246" s="354"/>
      <c r="G246" s="354"/>
      <c r="H246" s="354"/>
      <c r="I246" s="354"/>
      <c r="J246" s="264">
        <v>2</v>
      </c>
      <c r="K246" s="355">
        <f t="shared" si="5"/>
        <v>2.6809651474530832E-3</v>
      </c>
      <c r="L246" s="265">
        <v>42</v>
      </c>
      <c r="M246" s="355">
        <f t="shared" si="6"/>
        <v>1.4254683681781156E-3</v>
      </c>
      <c r="N246" s="332"/>
      <c r="O246" s="356"/>
      <c r="P246" s="5"/>
      <c r="Q246" s="104"/>
    </row>
    <row r="247" spans="1:17" ht="15.6" x14ac:dyDescent="0.3">
      <c r="A247" s="262"/>
      <c r="B247" s="264" t="s">
        <v>230</v>
      </c>
      <c r="C247" s="354"/>
      <c r="D247" s="354"/>
      <c r="E247" s="354"/>
      <c r="F247" s="354"/>
      <c r="G247" s="354"/>
      <c r="H247" s="354"/>
      <c r="I247" s="354"/>
      <c r="J247" s="264">
        <v>1</v>
      </c>
      <c r="K247" s="355">
        <f t="shared" si="5"/>
        <v>1.3404825737265416E-3</v>
      </c>
      <c r="L247" s="265">
        <v>142</v>
      </c>
      <c r="M247" s="355">
        <f t="shared" si="6"/>
        <v>4.8194406733641053E-3</v>
      </c>
      <c r="N247" s="332"/>
      <c r="O247" s="356"/>
      <c r="P247" s="5"/>
      <c r="Q247" s="104"/>
    </row>
    <row r="248" spans="1:17" ht="15.6" x14ac:dyDescent="0.3">
      <c r="A248" s="262"/>
      <c r="B248" s="264" t="s">
        <v>231</v>
      </c>
      <c r="C248" s="354"/>
      <c r="D248" s="354"/>
      <c r="E248" s="354"/>
      <c r="F248" s="354"/>
      <c r="G248" s="354"/>
      <c r="H248" s="354"/>
      <c r="I248" s="354"/>
      <c r="J248" s="264">
        <v>1</v>
      </c>
      <c r="K248" s="355">
        <f t="shared" si="5"/>
        <v>1.3404825737265416E-3</v>
      </c>
      <c r="L248" s="265">
        <v>36</v>
      </c>
      <c r="M248" s="355">
        <f t="shared" si="6"/>
        <v>1.2218300298669563E-3</v>
      </c>
      <c r="N248" s="332"/>
      <c r="O248" s="356"/>
      <c r="P248" s="5"/>
      <c r="Q248" s="104"/>
    </row>
    <row r="249" spans="1:17" ht="15.6" x14ac:dyDescent="0.3">
      <c r="A249" s="262"/>
      <c r="B249" s="264" t="s">
        <v>232</v>
      </c>
      <c r="C249" s="354"/>
      <c r="D249" s="354"/>
      <c r="E249" s="354"/>
      <c r="F249" s="354"/>
      <c r="G249" s="354"/>
      <c r="H249" s="354"/>
      <c r="I249" s="354"/>
      <c r="J249" s="264">
        <v>2</v>
      </c>
      <c r="K249" s="355">
        <f t="shared" si="5"/>
        <v>2.6809651474530832E-3</v>
      </c>
      <c r="L249" s="265">
        <v>37</v>
      </c>
      <c r="M249" s="355">
        <f t="shared" si="6"/>
        <v>1.2557697529188162E-3</v>
      </c>
      <c r="N249" s="332"/>
      <c r="O249" s="356"/>
      <c r="P249" s="5"/>
      <c r="Q249" s="104"/>
    </row>
    <row r="250" spans="1:17" ht="15.6" x14ac:dyDescent="0.3">
      <c r="A250" s="262"/>
      <c r="B250" s="264" t="s">
        <v>233</v>
      </c>
      <c r="C250" s="354"/>
      <c r="D250" s="354"/>
      <c r="E250" s="354"/>
      <c r="F250" s="354"/>
      <c r="G250" s="354"/>
      <c r="H250" s="354"/>
      <c r="I250" s="354"/>
      <c r="J250" s="264">
        <v>4</v>
      </c>
      <c r="K250" s="355">
        <f t="shared" si="5"/>
        <v>5.3619302949061663E-3</v>
      </c>
      <c r="L250" s="265">
        <v>172</v>
      </c>
      <c r="M250" s="355">
        <f t="shared" si="6"/>
        <v>5.8376323649199022E-3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746</v>
      </c>
      <c r="K252" s="355">
        <f>SUM(K238:K251)</f>
        <v>1</v>
      </c>
      <c r="L252" s="265">
        <f>SUM(L238:L251)</f>
        <v>29464</v>
      </c>
      <c r="M252" s="355">
        <f>SUM(M238:M251)</f>
        <v>1.0000000000000002</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1</v>
      </c>
      <c r="K272" s="355">
        <f t="shared" ref="K272:K284" si="7">J272/$J$286</f>
        <v>0.5</v>
      </c>
      <c r="L272" s="265">
        <v>24</v>
      </c>
      <c r="M272" s="355">
        <f t="shared" ref="M272:M284" si="8">L272/$L$286</f>
        <v>2.3645320197044337E-2</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0.5</v>
      </c>
      <c r="L284" s="265">
        <v>991</v>
      </c>
      <c r="M284" s="355">
        <f t="shared" si="8"/>
        <v>0.97635467980295565</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2</v>
      </c>
      <c r="K286" s="355">
        <f>SUM(K272:K284)</f>
        <v>1</v>
      </c>
      <c r="L286" s="265">
        <f>SUM(L272:L284)</f>
        <v>1015</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748</v>
      </c>
      <c r="K288" s="355"/>
      <c r="L288" s="359">
        <f>+L286+L269+L252</f>
        <v>30479</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AUGUST 2015</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53" orientation="landscape" r:id="rId1"/>
  <headerFooter alignWithMargins="0"/>
  <rowBreaks count="3" manualBreakCount="3">
    <brk id="52" max="14" man="1"/>
    <brk id="115" max="14" man="1"/>
    <brk id="182" max="14" man="1"/>
  </rowBreaks>
  <colBreaks count="1" manualBreakCount="1">
    <brk id="15" max="298"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V299"/>
  <sheetViews>
    <sheetView showGridLines="0" showOutlineSymbols="0" zoomScale="80" zoomScaleNormal="8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0.1242</v>
      </c>
      <c r="L16" s="232" t="s">
        <v>133</v>
      </c>
      <c r="M16" s="231">
        <v>0.87580000000000002</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42360</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27282.060800000003</v>
      </c>
      <c r="E29" s="279"/>
      <c r="F29" s="279">
        <f>F28*F32</f>
        <v>1598.20047</v>
      </c>
      <c r="G29" s="279"/>
      <c r="H29" s="279">
        <f>H28*H32</f>
        <v>1598.20047</v>
      </c>
      <c r="I29" s="279"/>
      <c r="J29" s="284"/>
      <c r="K29" s="279"/>
      <c r="L29" s="279"/>
      <c r="M29" s="280"/>
      <c r="N29" s="279">
        <f>SUM(D29:H29)+1</f>
        <v>30479.461740000002</v>
      </c>
      <c r="O29" s="281"/>
      <c r="P29" s="5"/>
    </row>
    <row r="30" spans="1:16" ht="15.6" x14ac:dyDescent="0.3">
      <c r="A30" s="274"/>
      <c r="B30" s="275" t="s">
        <v>130</v>
      </c>
      <c r="C30" s="278"/>
      <c r="D30" s="285">
        <f>D28*D31</f>
        <v>24963.662900000003</v>
      </c>
      <c r="E30" s="285"/>
      <c r="F30" s="285">
        <f>F28*F31</f>
        <v>1598.20047</v>
      </c>
      <c r="G30" s="285"/>
      <c r="H30" s="285">
        <f>H28*H31</f>
        <v>1598.20047</v>
      </c>
      <c r="I30" s="285"/>
      <c r="J30" s="288"/>
      <c r="K30" s="279"/>
      <c r="L30" s="279"/>
      <c r="M30" s="280"/>
      <c r="N30" s="285">
        <f>SUM(D30:I30)+1</f>
        <v>28161.063840000003</v>
      </c>
      <c r="O30" s="281"/>
      <c r="P30" s="5"/>
    </row>
    <row r="31" spans="1:16" ht="15.6" x14ac:dyDescent="0.3">
      <c r="A31" s="262"/>
      <c r="B31" s="290" t="s">
        <v>126</v>
      </c>
      <c r="C31" s="291"/>
      <c r="D31" s="292">
        <v>9.5829800000000007E-2</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0.10472960000000001</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8.2749999999999994E-3</v>
      </c>
      <c r="E34" s="297"/>
      <c r="F34" s="298">
        <v>9.4750000000000008E-3</v>
      </c>
      <c r="G34" s="297"/>
      <c r="H34" s="298">
        <v>1.1475000000000001E-2</v>
      </c>
      <c r="I34" s="297"/>
      <c r="J34" s="298"/>
      <c r="K34" s="297"/>
      <c r="L34" s="298"/>
      <c r="M34" s="268"/>
      <c r="N34" s="297">
        <f>SUMPRODUCT(D34:H34,D29:H29)/N29</f>
        <v>8.5054439339485519E-3</v>
      </c>
      <c r="O34" s="266"/>
      <c r="P34" s="5"/>
    </row>
    <row r="35" spans="1:17" ht="15.6" x14ac:dyDescent="0.3">
      <c r="A35" s="274"/>
      <c r="B35" s="263" t="s">
        <v>11</v>
      </c>
      <c r="C35" s="263"/>
      <c r="D35" s="298">
        <v>8.1124999999999999E-3</v>
      </c>
      <c r="E35" s="297"/>
      <c r="F35" s="298">
        <v>9.3124999999999996E-3</v>
      </c>
      <c r="G35" s="297"/>
      <c r="H35" s="298">
        <v>1.13125E-2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0.12804214480880527</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42353</v>
      </c>
      <c r="O45" s="266"/>
      <c r="P45" s="5"/>
    </row>
    <row r="46" spans="1:17" ht="15.6" x14ac:dyDescent="0.3">
      <c r="A46" s="274"/>
      <c r="B46" s="263" t="s">
        <v>119</v>
      </c>
      <c r="C46" s="263"/>
      <c r="D46" s="305"/>
      <c r="E46" s="305"/>
      <c r="F46" s="305"/>
      <c r="G46" s="305"/>
      <c r="H46" s="305"/>
      <c r="I46" s="305"/>
      <c r="J46" s="263">
        <f>+N46-L46+1</f>
        <v>92</v>
      </c>
      <c r="K46" s="305"/>
      <c r="L46" s="306">
        <v>42170</v>
      </c>
      <c r="M46" s="307"/>
      <c r="N46" s="306">
        <v>42261</v>
      </c>
      <c r="O46" s="266"/>
      <c r="P46" s="5"/>
    </row>
    <row r="47" spans="1:17" ht="15.6" x14ac:dyDescent="0.3">
      <c r="A47" s="274"/>
      <c r="B47" s="263" t="s">
        <v>120</v>
      </c>
      <c r="C47" s="263"/>
      <c r="D47" s="263"/>
      <c r="E47" s="263"/>
      <c r="F47" s="263"/>
      <c r="G47" s="263"/>
      <c r="H47" s="263"/>
      <c r="I47" s="263"/>
      <c r="J47" s="263">
        <f>+N47-L47+1</f>
        <v>91</v>
      </c>
      <c r="K47" s="263"/>
      <c r="L47" s="306">
        <v>42262</v>
      </c>
      <c r="M47" s="307"/>
      <c r="N47" s="306">
        <v>42352</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42339</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285</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30479</v>
      </c>
      <c r="G56" s="264"/>
      <c r="H56" s="264">
        <v>2318</v>
      </c>
      <c r="I56" s="264"/>
      <c r="J56" s="264">
        <v>0</v>
      </c>
      <c r="K56" s="264"/>
      <c r="L56" s="264">
        <v>0</v>
      </c>
      <c r="M56" s="264"/>
      <c r="N56" s="265">
        <f>+F56-H56+J56-L56</f>
        <v>28161</v>
      </c>
      <c r="O56" s="266"/>
      <c r="P56" s="5"/>
    </row>
    <row r="57" spans="1:16" ht="15.6" x14ac:dyDescent="0.3">
      <c r="A57" s="262"/>
      <c r="B57" s="263" t="s">
        <v>209</v>
      </c>
      <c r="C57" s="264"/>
      <c r="D57" s="264">
        <v>756</v>
      </c>
      <c r="E57" s="264"/>
      <c r="F57" s="265">
        <v>233</v>
      </c>
      <c r="G57" s="264"/>
      <c r="H57" s="264">
        <v>0</v>
      </c>
      <c r="I57" s="264"/>
      <c r="J57" s="264">
        <v>0</v>
      </c>
      <c r="K57" s="264"/>
      <c r="L57" s="264">
        <v>0</v>
      </c>
      <c r="M57" s="264"/>
      <c r="N57" s="265">
        <f>+F57-H57</f>
        <v>233</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30712</v>
      </c>
      <c r="G59" s="264"/>
      <c r="H59" s="264">
        <f>SUM(H56:H58)</f>
        <v>2318</v>
      </c>
      <c r="I59" s="264"/>
      <c r="J59" s="264">
        <f>SUM(J56:J58)</f>
        <v>0</v>
      </c>
      <c r="K59" s="264"/>
      <c r="L59" s="264">
        <f>SUM(L56:L58)</f>
        <v>0</v>
      </c>
      <c r="M59" s="264"/>
      <c r="N59" s="264">
        <f>SUM(N56:N58)</f>
        <v>28394</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-233</v>
      </c>
      <c r="G68" s="264"/>
      <c r="H68" s="264"/>
      <c r="I68" s="264"/>
      <c r="J68" s="264"/>
      <c r="K68" s="264"/>
      <c r="L68" s="264"/>
      <c r="M68" s="264"/>
      <c r="N68" s="265">
        <f>-N57</f>
        <v>-233</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30479</v>
      </c>
      <c r="G72" s="264"/>
      <c r="H72" s="264"/>
      <c r="I72" s="264"/>
      <c r="J72" s="264"/>
      <c r="K72" s="264"/>
      <c r="L72" s="264"/>
      <c r="M72" s="264"/>
      <c r="N72" s="264">
        <f>SUM(N59:N71)</f>
        <v>28161</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42338</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v>2318</v>
      </c>
      <c r="M77" s="263"/>
      <c r="N77" s="265"/>
      <c r="O77" s="266"/>
      <c r="P77" s="5"/>
    </row>
    <row r="78" spans="1:16" ht="15.6" x14ac:dyDescent="0.3">
      <c r="A78" s="262"/>
      <c r="B78" s="263" t="s">
        <v>176</v>
      </c>
      <c r="C78" s="263"/>
      <c r="D78" s="300"/>
      <c r="E78" s="263"/>
      <c r="F78" s="309"/>
      <c r="G78" s="263"/>
      <c r="H78" s="263"/>
      <c r="I78" s="263"/>
      <c r="J78" s="263"/>
      <c r="K78" s="263"/>
      <c r="L78" s="264"/>
      <c r="M78" s="263"/>
      <c r="N78" s="265">
        <f>875+116+581-669-80-506</f>
        <v>317</v>
      </c>
      <c r="O78" s="266"/>
      <c r="P78" s="5"/>
    </row>
    <row r="79" spans="1:16" ht="15.6" x14ac:dyDescent="0.3">
      <c r="A79" s="262"/>
      <c r="B79" s="263" t="s">
        <v>174</v>
      </c>
      <c r="C79" s="263"/>
      <c r="D79" s="300"/>
      <c r="E79" s="263"/>
      <c r="F79" s="309"/>
      <c r="G79" s="263"/>
      <c r="H79" s="263"/>
      <c r="I79" s="263"/>
      <c r="J79" s="263"/>
      <c r="K79" s="263"/>
      <c r="L79" s="264"/>
      <c r="M79" s="263"/>
      <c r="N79" s="265">
        <f>36+28</f>
        <v>64</v>
      </c>
      <c r="O79" s="266"/>
      <c r="P79" s="5"/>
    </row>
    <row r="80" spans="1:16" ht="15.6" x14ac:dyDescent="0.3">
      <c r="A80" s="262"/>
      <c r="B80" s="263" t="s">
        <v>175</v>
      </c>
      <c r="C80" s="263"/>
      <c r="D80" s="300"/>
      <c r="E80" s="263"/>
      <c r="F80" s="309"/>
      <c r="G80" s="263"/>
      <c r="H80" s="263"/>
      <c r="I80" s="263"/>
      <c r="J80" s="263"/>
      <c r="K80" s="263"/>
      <c r="L80" s="264"/>
      <c r="M80" s="263"/>
      <c r="N80" s="265">
        <v>4</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2318</v>
      </c>
      <c r="M83" s="263"/>
      <c r="N83" s="264">
        <f>SUM(N76:N82)</f>
        <v>385</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2318</v>
      </c>
      <c r="M87" s="263"/>
      <c r="N87" s="264">
        <f>N83+N85+N84+N86</f>
        <v>385</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-12-1-71</f>
        <v>-84</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-56</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0</v>
      </c>
      <c r="M98" s="263"/>
      <c r="N98" s="265">
        <v>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-12</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-216</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-2318</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-2318</v>
      </c>
      <c r="M111" s="264"/>
      <c r="N111" s="264">
        <f>SUM(N88:N109)</f>
        <v>-385</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NOVEMBER 2015</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0</v>
      </c>
      <c r="O144" s="266"/>
      <c r="P144" s="5"/>
    </row>
    <row r="145" spans="1:256" ht="15.6" x14ac:dyDescent="0.3">
      <c r="A145" s="262"/>
      <c r="B145" s="263" t="s">
        <v>51</v>
      </c>
      <c r="C145" s="263"/>
      <c r="D145" s="263"/>
      <c r="E145" s="263"/>
      <c r="F145" s="263"/>
      <c r="G145" s="263"/>
      <c r="H145" s="263"/>
      <c r="I145" s="263"/>
      <c r="J145" s="263"/>
      <c r="K145" s="263"/>
      <c r="L145" s="263"/>
      <c r="M145" s="263"/>
      <c r="N145" s="265">
        <f>+N143+N144</f>
        <v>0</v>
      </c>
      <c r="O145" s="266"/>
      <c r="P145" s="5"/>
    </row>
    <row r="146" spans="1:256" ht="15.6" x14ac:dyDescent="0.3">
      <c r="A146" s="262"/>
      <c r="B146" s="263" t="s">
        <v>264</v>
      </c>
      <c r="C146" s="263"/>
      <c r="D146" s="263"/>
      <c r="E146" s="263"/>
      <c r="F146" s="263"/>
      <c r="G146" s="263"/>
      <c r="H146" s="263"/>
      <c r="I146" s="263"/>
      <c r="J146" s="263"/>
      <c r="K146" s="263"/>
      <c r="L146" s="263"/>
      <c r="M146" s="263"/>
      <c r="N146" s="265">
        <f>N98</f>
        <v>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28161</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28161</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+'Aug 15'!N161</f>
        <v>233</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0</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233</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+'Aug 15'!L168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5.3392857142857144</v>
      </c>
      <c r="O173" s="266" t="s">
        <v>115</v>
      </c>
      <c r="P173" s="5"/>
    </row>
    <row r="174" spans="1:256" ht="15.6" x14ac:dyDescent="0.3">
      <c r="A174" s="262"/>
      <c r="B174" s="263" t="s">
        <v>63</v>
      </c>
      <c r="C174" s="263"/>
      <c r="D174" s="263"/>
      <c r="E174" s="263"/>
      <c r="F174" s="263"/>
      <c r="G174" s="263"/>
      <c r="H174" s="263"/>
      <c r="I174" s="263"/>
      <c r="J174" s="263"/>
      <c r="K174" s="263"/>
      <c r="L174" s="263"/>
      <c r="M174" s="263"/>
      <c r="N174" s="315">
        <v>2.16</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60.75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49.59</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59.75</v>
      </c>
      <c r="O177" s="266" t="s">
        <v>115</v>
      </c>
      <c r="P177" s="5"/>
    </row>
    <row r="178" spans="1:16" ht="15.6" x14ac:dyDescent="0.3">
      <c r="A178" s="262"/>
      <c r="B178" s="263" t="s">
        <v>167</v>
      </c>
      <c r="C178" s="263"/>
      <c r="D178" s="263"/>
      <c r="E178" s="263"/>
      <c r="F178" s="263"/>
      <c r="G178" s="263"/>
      <c r="H178" s="263"/>
      <c r="I178" s="263"/>
      <c r="J178" s="263"/>
      <c r="K178" s="263"/>
      <c r="L178" s="263"/>
      <c r="M178" s="263"/>
      <c r="N178" s="315">
        <v>46.76</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NOVEMBER 2015</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42338</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4.7120000000000002E-2</v>
      </c>
      <c r="M188" s="263"/>
      <c r="N188" s="263"/>
      <c r="O188" s="266"/>
      <c r="P188" s="5"/>
    </row>
    <row r="189" spans="1:16" ht="15.6" x14ac:dyDescent="0.3">
      <c r="A189" s="321"/>
      <c r="B189" s="263" t="s">
        <v>212</v>
      </c>
      <c r="C189" s="322"/>
      <c r="D189" s="303"/>
      <c r="E189" s="303"/>
      <c r="F189" s="303"/>
      <c r="G189" s="303"/>
      <c r="H189" s="303"/>
      <c r="I189" s="303"/>
      <c r="J189" s="303"/>
      <c r="K189" s="303"/>
      <c r="L189" s="297">
        <f>N34</f>
        <v>8.5054439339485519E-3</v>
      </c>
      <c r="M189" s="263"/>
      <c r="N189" s="263"/>
      <c r="O189" s="266"/>
      <c r="P189" s="5"/>
    </row>
    <row r="190" spans="1:16" ht="15.6" x14ac:dyDescent="0.3">
      <c r="A190" s="321"/>
      <c r="B190" s="263" t="s">
        <v>70</v>
      </c>
      <c r="C190" s="322"/>
      <c r="D190" s="303"/>
      <c r="E190" s="303"/>
      <c r="F190" s="303"/>
      <c r="G190" s="303"/>
      <c r="H190" s="303"/>
      <c r="I190" s="303"/>
      <c r="J190" s="303"/>
      <c r="K190" s="303"/>
      <c r="L190" s="297">
        <f>L188-L189</f>
        <v>3.861455606605145E-2</v>
      </c>
      <c r="M190" s="263"/>
      <c r="N190" s="263"/>
      <c r="O190" s="266"/>
      <c r="P190" s="5"/>
    </row>
    <row r="191" spans="1:16" ht="15.6" x14ac:dyDescent="0.3">
      <c r="A191" s="321"/>
      <c r="B191" s="263" t="s">
        <v>203</v>
      </c>
      <c r="C191" s="322"/>
      <c r="D191" s="303"/>
      <c r="E191" s="303"/>
      <c r="F191" s="303"/>
      <c r="G191" s="303"/>
      <c r="H191" s="303"/>
      <c r="I191" s="303"/>
      <c r="J191" s="303"/>
      <c r="K191" s="303"/>
      <c r="L191" s="297">
        <f>+N87/F59</f>
        <v>1.2535816618911174E-2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4.54</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7.6052363922700872E-2</v>
      </c>
      <c r="M197" s="263"/>
      <c r="N197" s="263"/>
      <c r="O197" s="266"/>
      <c r="P197" s="5"/>
    </row>
    <row r="198" spans="1:16" ht="15.6" x14ac:dyDescent="0.3">
      <c r="A198" s="321"/>
      <c r="B198" s="263" t="s">
        <v>74</v>
      </c>
      <c r="C198" s="322"/>
      <c r="D198" s="303"/>
      <c r="E198" s="303"/>
      <c r="F198" s="303"/>
      <c r="G198" s="303"/>
      <c r="H198" s="303"/>
      <c r="I198" s="303"/>
      <c r="J198" s="303"/>
      <c r="K198" s="303"/>
      <c r="L198" s="297">
        <v>0.26900000000000002</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11</v>
      </c>
      <c r="L201" s="331">
        <v>596</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1</v>
      </c>
      <c r="L203" s="331">
        <f>+L286</f>
        <v>991</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0</v>
      </c>
      <c r="M207" s="291"/>
      <c r="N207" s="337"/>
      <c r="O207" s="342"/>
      <c r="P207" s="5"/>
    </row>
    <row r="208" spans="1:16" ht="15.6" x14ac:dyDescent="0.3">
      <c r="A208" s="330"/>
      <c r="B208" s="263" t="s">
        <v>82</v>
      </c>
      <c r="C208" s="264"/>
      <c r="D208" s="263"/>
      <c r="E208" s="263"/>
      <c r="F208" s="263"/>
      <c r="G208" s="263"/>
      <c r="H208" s="263"/>
      <c r="I208" s="263"/>
      <c r="J208" s="263"/>
      <c r="K208" s="276"/>
      <c r="L208" s="331">
        <f>'Aug 15'!L208+L207</f>
        <v>44</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1</v>
      </c>
      <c r="L210" s="331">
        <v>24</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2.96</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656</v>
      </c>
      <c r="K221" s="355">
        <f t="shared" ref="K221:K233" si="2">J221/$J$235</f>
        <v>0.95348837209302328</v>
      </c>
      <c r="L221" s="265">
        <f t="shared" ref="L221:L233" si="3">+L238+L255+L272</f>
        <v>25934</v>
      </c>
      <c r="M221" s="355">
        <f t="shared" ref="M221:M233" si="4">L221/$L$235</f>
        <v>0.92091900145591421</v>
      </c>
      <c r="N221" s="332"/>
      <c r="O221" s="356"/>
      <c r="P221" s="5"/>
    </row>
    <row r="222" spans="1:17" ht="15.6" x14ac:dyDescent="0.3">
      <c r="A222" s="262"/>
      <c r="B222" s="264" t="s">
        <v>86</v>
      </c>
      <c r="C222" s="354"/>
      <c r="D222" s="354"/>
      <c r="E222" s="354"/>
      <c r="F222" s="354"/>
      <c r="G222" s="354"/>
      <c r="H222" s="354"/>
      <c r="I222" s="354"/>
      <c r="J222" s="264">
        <f t="shared" si="1"/>
        <v>8</v>
      </c>
      <c r="K222" s="355">
        <f t="shared" si="2"/>
        <v>1.1627906976744186E-2</v>
      </c>
      <c r="L222" s="265">
        <f t="shared" si="3"/>
        <v>364</v>
      </c>
      <c r="M222" s="355">
        <f t="shared" si="4"/>
        <v>1.2925677355207556E-2</v>
      </c>
      <c r="N222" s="332"/>
      <c r="O222" s="356"/>
      <c r="P222" s="5"/>
      <c r="Q222" s="104"/>
    </row>
    <row r="223" spans="1:17" ht="15.6" x14ac:dyDescent="0.3">
      <c r="A223" s="262"/>
      <c r="B223" s="264" t="s">
        <v>87</v>
      </c>
      <c r="C223" s="354"/>
      <c r="D223" s="354"/>
      <c r="E223" s="354"/>
      <c r="F223" s="354"/>
      <c r="G223" s="354"/>
      <c r="H223" s="354"/>
      <c r="I223" s="354"/>
      <c r="J223" s="264">
        <f t="shared" si="1"/>
        <v>5</v>
      </c>
      <c r="K223" s="355">
        <f t="shared" si="2"/>
        <v>7.2674418604651162E-3</v>
      </c>
      <c r="L223" s="265">
        <f t="shared" si="3"/>
        <v>259</v>
      </c>
      <c r="M223" s="355">
        <f t="shared" si="4"/>
        <v>9.1971165796669151E-3</v>
      </c>
      <c r="N223" s="332"/>
      <c r="O223" s="356"/>
      <c r="P223" s="5"/>
    </row>
    <row r="224" spans="1:17" ht="15.6" x14ac:dyDescent="0.3">
      <c r="A224" s="262"/>
      <c r="B224" s="264" t="s">
        <v>145</v>
      </c>
      <c r="C224" s="354"/>
      <c r="D224" s="354"/>
      <c r="E224" s="354"/>
      <c r="F224" s="354"/>
      <c r="G224" s="354"/>
      <c r="H224" s="354"/>
      <c r="I224" s="354"/>
      <c r="J224" s="264">
        <f t="shared" si="1"/>
        <v>3</v>
      </c>
      <c r="K224" s="355">
        <f t="shared" si="2"/>
        <v>4.3604651162790697E-3</v>
      </c>
      <c r="L224" s="265">
        <f t="shared" si="3"/>
        <v>31</v>
      </c>
      <c r="M224" s="355">
        <f t="shared" si="4"/>
        <v>1.1008131813500942E-3</v>
      </c>
      <c r="N224" s="332"/>
      <c r="O224" s="356"/>
      <c r="P224" s="5"/>
      <c r="Q224" s="104"/>
    </row>
    <row r="225" spans="1:17" ht="15.6" x14ac:dyDescent="0.3">
      <c r="A225" s="262"/>
      <c r="B225" s="264" t="s">
        <v>146</v>
      </c>
      <c r="C225" s="354"/>
      <c r="D225" s="354"/>
      <c r="E225" s="354"/>
      <c r="F225" s="354"/>
      <c r="G225" s="354"/>
      <c r="H225" s="354"/>
      <c r="I225" s="354"/>
      <c r="J225" s="264">
        <f t="shared" si="1"/>
        <v>1</v>
      </c>
      <c r="K225" s="355">
        <f t="shared" si="2"/>
        <v>1.4534883720930232E-3</v>
      </c>
      <c r="L225" s="265">
        <f t="shared" si="3"/>
        <v>22</v>
      </c>
      <c r="M225" s="355">
        <f t="shared" si="4"/>
        <v>7.8122225773232488E-4</v>
      </c>
      <c r="N225" s="332"/>
      <c r="O225" s="356"/>
      <c r="P225" s="5"/>
    </row>
    <row r="226" spans="1:17" ht="15.6" x14ac:dyDescent="0.3">
      <c r="A226" s="262"/>
      <c r="B226" s="264" t="s">
        <v>147</v>
      </c>
      <c r="C226" s="354"/>
      <c r="D226" s="354"/>
      <c r="E226" s="354"/>
      <c r="F226" s="354"/>
      <c r="G226" s="354"/>
      <c r="H226" s="354"/>
      <c r="I226" s="354"/>
      <c r="J226" s="264">
        <f t="shared" si="1"/>
        <v>0</v>
      </c>
      <c r="K226" s="355">
        <f t="shared" si="2"/>
        <v>0</v>
      </c>
      <c r="L226" s="265">
        <f t="shared" si="3"/>
        <v>0</v>
      </c>
      <c r="M226" s="355">
        <f t="shared" si="4"/>
        <v>0</v>
      </c>
      <c r="N226" s="332"/>
      <c r="O226" s="356"/>
      <c r="P226" s="5"/>
      <c r="Q226" s="104"/>
    </row>
    <row r="227" spans="1:17" ht="15.6" x14ac:dyDescent="0.3">
      <c r="A227" s="262"/>
      <c r="B227" s="264" t="s">
        <v>227</v>
      </c>
      <c r="C227" s="354"/>
      <c r="D227" s="354"/>
      <c r="E227" s="354"/>
      <c r="F227" s="354"/>
      <c r="G227" s="354"/>
      <c r="H227" s="354"/>
      <c r="I227" s="354"/>
      <c r="J227" s="264">
        <f t="shared" si="1"/>
        <v>3</v>
      </c>
      <c r="K227" s="355">
        <f t="shared" si="2"/>
        <v>4.3604651162790697E-3</v>
      </c>
      <c r="L227" s="265">
        <f t="shared" si="3"/>
        <v>122</v>
      </c>
      <c r="M227" s="355">
        <f t="shared" si="4"/>
        <v>4.3322325201519832E-3</v>
      </c>
      <c r="N227" s="332"/>
      <c r="O227" s="356"/>
      <c r="P227" s="5"/>
    </row>
    <row r="228" spans="1:17" ht="15.6" x14ac:dyDescent="0.3">
      <c r="A228" s="262"/>
      <c r="B228" s="264" t="s">
        <v>228</v>
      </c>
      <c r="C228" s="354"/>
      <c r="D228" s="354"/>
      <c r="E228" s="354"/>
      <c r="F228" s="354"/>
      <c r="G228" s="354"/>
      <c r="H228" s="354"/>
      <c r="I228" s="354"/>
      <c r="J228" s="264">
        <f t="shared" si="1"/>
        <v>1</v>
      </c>
      <c r="K228" s="355">
        <f t="shared" si="2"/>
        <v>1.4534883720930232E-3</v>
      </c>
      <c r="L228" s="265">
        <f t="shared" si="3"/>
        <v>17</v>
      </c>
      <c r="M228" s="355">
        <f t="shared" si="4"/>
        <v>6.0367174461134195E-4</v>
      </c>
      <c r="N228" s="332"/>
      <c r="O228" s="356"/>
      <c r="P228" s="5"/>
      <c r="Q228" s="104"/>
    </row>
    <row r="229" spans="1:17" ht="15.6" x14ac:dyDescent="0.3">
      <c r="A229" s="262"/>
      <c r="B229" s="264" t="s">
        <v>229</v>
      </c>
      <c r="C229" s="354"/>
      <c r="D229" s="354"/>
      <c r="E229" s="354"/>
      <c r="F229" s="354"/>
      <c r="G229" s="354"/>
      <c r="H229" s="354"/>
      <c r="I229" s="354"/>
      <c r="J229" s="264">
        <f t="shared" si="1"/>
        <v>2</v>
      </c>
      <c r="K229" s="355">
        <f t="shared" si="2"/>
        <v>2.9069767441860465E-3</v>
      </c>
      <c r="L229" s="265">
        <f t="shared" si="3"/>
        <v>40</v>
      </c>
      <c r="M229" s="355">
        <f t="shared" si="4"/>
        <v>1.4204041049678633E-3</v>
      </c>
      <c r="N229" s="332"/>
      <c r="O229" s="356"/>
      <c r="P229" s="5"/>
      <c r="Q229" s="104"/>
    </row>
    <row r="230" spans="1:17" ht="15.6" x14ac:dyDescent="0.3">
      <c r="A230" s="262"/>
      <c r="B230" s="264" t="s">
        <v>230</v>
      </c>
      <c r="C230" s="354"/>
      <c r="D230" s="354"/>
      <c r="E230" s="354"/>
      <c r="F230" s="354"/>
      <c r="G230" s="354"/>
      <c r="H230" s="354"/>
      <c r="I230" s="354"/>
      <c r="J230" s="264">
        <f t="shared" si="1"/>
        <v>0</v>
      </c>
      <c r="K230" s="355">
        <f t="shared" si="2"/>
        <v>0</v>
      </c>
      <c r="L230" s="265">
        <f t="shared" si="3"/>
        <v>0</v>
      </c>
      <c r="M230" s="355">
        <f t="shared" si="4"/>
        <v>0</v>
      </c>
      <c r="N230" s="332"/>
      <c r="O230" s="356"/>
      <c r="P230" s="5"/>
      <c r="Q230" s="104"/>
    </row>
    <row r="231" spans="1:17" ht="15.6" x14ac:dyDescent="0.3">
      <c r="A231" s="262"/>
      <c r="B231" s="264" t="s">
        <v>231</v>
      </c>
      <c r="C231" s="354"/>
      <c r="D231" s="354"/>
      <c r="E231" s="354"/>
      <c r="F231" s="354"/>
      <c r="G231" s="354"/>
      <c r="H231" s="354"/>
      <c r="I231" s="354"/>
      <c r="J231" s="264">
        <f t="shared" si="1"/>
        <v>2</v>
      </c>
      <c r="K231" s="355">
        <f t="shared" si="2"/>
        <v>2.9069767441860465E-3</v>
      </c>
      <c r="L231" s="265">
        <f t="shared" si="3"/>
        <v>176</v>
      </c>
      <c r="M231" s="355">
        <f t="shared" si="4"/>
        <v>6.2497780618585991E-3</v>
      </c>
      <c r="N231" s="332"/>
      <c r="O231" s="356"/>
      <c r="P231" s="5"/>
      <c r="Q231" s="104"/>
    </row>
    <row r="232" spans="1:17" ht="15.6" x14ac:dyDescent="0.3">
      <c r="A232" s="262"/>
      <c r="B232" s="264" t="s">
        <v>232</v>
      </c>
      <c r="C232" s="354"/>
      <c r="D232" s="354"/>
      <c r="E232" s="354"/>
      <c r="F232" s="354"/>
      <c r="G232" s="354"/>
      <c r="H232" s="354"/>
      <c r="I232" s="354"/>
      <c r="J232" s="264">
        <f t="shared" si="1"/>
        <v>3</v>
      </c>
      <c r="K232" s="355">
        <f t="shared" si="2"/>
        <v>4.3604651162790697E-3</v>
      </c>
      <c r="L232" s="265">
        <f t="shared" si="3"/>
        <v>89</v>
      </c>
      <c r="M232" s="355">
        <f t="shared" si="4"/>
        <v>3.1603991335534959E-3</v>
      </c>
      <c r="N232" s="332"/>
      <c r="O232" s="356"/>
      <c r="P232" s="5"/>
      <c r="Q232" s="104"/>
    </row>
    <row r="233" spans="1:17" ht="15.6" x14ac:dyDescent="0.3">
      <c r="A233" s="262"/>
      <c r="B233" s="264" t="s">
        <v>233</v>
      </c>
      <c r="C233" s="354"/>
      <c r="D233" s="354"/>
      <c r="E233" s="354"/>
      <c r="F233" s="354"/>
      <c r="G233" s="354"/>
      <c r="H233" s="354"/>
      <c r="I233" s="354"/>
      <c r="J233" s="264">
        <f t="shared" si="1"/>
        <v>4</v>
      </c>
      <c r="K233" s="355">
        <f t="shared" si="2"/>
        <v>5.8139534883720929E-3</v>
      </c>
      <c r="L233" s="265">
        <f t="shared" si="3"/>
        <v>1107</v>
      </c>
      <c r="M233" s="355">
        <f t="shared" si="4"/>
        <v>3.9309683604985615E-2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688</v>
      </c>
      <c r="K235" s="355">
        <f>SUM(K221:K234)</f>
        <v>1</v>
      </c>
      <c r="L235" s="265">
        <f>SUM(L221:L234)</f>
        <v>28161</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656</v>
      </c>
      <c r="K238" s="355">
        <f t="shared" ref="K238:K250" si="5">J238/$J$252</f>
        <v>0.9548762736535662</v>
      </c>
      <c r="L238" s="265">
        <v>25934</v>
      </c>
      <c r="M238" s="355">
        <f t="shared" ref="M238:M250" si="6">L238/$L$252</f>
        <v>0.95450864924549139</v>
      </c>
      <c r="N238" s="332"/>
      <c r="O238" s="356"/>
      <c r="P238" s="5"/>
    </row>
    <row r="239" spans="1:17" ht="15.6" x14ac:dyDescent="0.3">
      <c r="A239" s="262"/>
      <c r="B239" s="264" t="s">
        <v>86</v>
      </c>
      <c r="C239" s="354"/>
      <c r="D239" s="354"/>
      <c r="E239" s="354"/>
      <c r="F239" s="354"/>
      <c r="G239" s="354"/>
      <c r="H239" s="354"/>
      <c r="I239" s="354"/>
      <c r="J239" s="264">
        <v>8</v>
      </c>
      <c r="K239" s="355">
        <f t="shared" si="5"/>
        <v>1.1644832605531296E-2</v>
      </c>
      <c r="L239" s="265">
        <v>364</v>
      </c>
      <c r="M239" s="355">
        <f t="shared" si="6"/>
        <v>1.3397129186602871E-2</v>
      </c>
      <c r="N239" s="332"/>
      <c r="O239" s="356"/>
      <c r="P239" s="5"/>
      <c r="Q239" s="104"/>
    </row>
    <row r="240" spans="1:17" ht="15.6" x14ac:dyDescent="0.3">
      <c r="A240" s="262"/>
      <c r="B240" s="264" t="s">
        <v>87</v>
      </c>
      <c r="C240" s="354"/>
      <c r="D240" s="354"/>
      <c r="E240" s="354"/>
      <c r="F240" s="354"/>
      <c r="G240" s="354"/>
      <c r="H240" s="354"/>
      <c r="I240" s="354"/>
      <c r="J240" s="264">
        <v>5</v>
      </c>
      <c r="K240" s="355">
        <f t="shared" si="5"/>
        <v>7.2780203784570596E-3</v>
      </c>
      <c r="L240" s="265">
        <v>259</v>
      </c>
      <c r="M240" s="355">
        <f t="shared" si="6"/>
        <v>9.5325726904674276E-3</v>
      </c>
      <c r="N240" s="332"/>
      <c r="O240" s="356"/>
      <c r="P240" s="5"/>
    </row>
    <row r="241" spans="1:17" ht="15.6" x14ac:dyDescent="0.3">
      <c r="A241" s="262"/>
      <c r="B241" s="264" t="s">
        <v>145</v>
      </c>
      <c r="C241" s="354"/>
      <c r="D241" s="354"/>
      <c r="E241" s="354"/>
      <c r="F241" s="354"/>
      <c r="G241" s="354"/>
      <c r="H241" s="354"/>
      <c r="I241" s="354"/>
      <c r="J241" s="264">
        <v>3</v>
      </c>
      <c r="K241" s="355">
        <f t="shared" si="5"/>
        <v>4.3668122270742356E-3</v>
      </c>
      <c r="L241" s="265">
        <v>31</v>
      </c>
      <c r="M241" s="355">
        <f t="shared" si="6"/>
        <v>1.1409642988590358E-3</v>
      </c>
      <c r="N241" s="332"/>
      <c r="O241" s="356"/>
      <c r="P241" s="5"/>
      <c r="Q241" s="104"/>
    </row>
    <row r="242" spans="1:17" ht="15.6" x14ac:dyDescent="0.3">
      <c r="A242" s="262"/>
      <c r="B242" s="264" t="s">
        <v>146</v>
      </c>
      <c r="C242" s="354"/>
      <c r="D242" s="354"/>
      <c r="E242" s="354"/>
      <c r="F242" s="354"/>
      <c r="G242" s="354"/>
      <c r="H242" s="354"/>
      <c r="I242" s="354"/>
      <c r="J242" s="264">
        <v>1</v>
      </c>
      <c r="K242" s="355">
        <f t="shared" si="5"/>
        <v>1.455604075691412E-3</v>
      </c>
      <c r="L242" s="265">
        <v>22</v>
      </c>
      <c r="M242" s="355">
        <f t="shared" si="6"/>
        <v>8.0971659919028337E-4</v>
      </c>
      <c r="N242" s="332"/>
      <c r="O242" s="356"/>
      <c r="P242" s="5"/>
    </row>
    <row r="243" spans="1:17" ht="15.6" x14ac:dyDescent="0.3">
      <c r="A243" s="262"/>
      <c r="B243" s="264" t="s">
        <v>147</v>
      </c>
      <c r="C243" s="354"/>
      <c r="D243" s="354"/>
      <c r="E243" s="354"/>
      <c r="F243" s="354"/>
      <c r="G243" s="354"/>
      <c r="H243" s="354"/>
      <c r="I243" s="354"/>
      <c r="J243" s="264">
        <v>0</v>
      </c>
      <c r="K243" s="355">
        <f t="shared" si="5"/>
        <v>0</v>
      </c>
      <c r="L243" s="265">
        <v>0</v>
      </c>
      <c r="M243" s="355">
        <f t="shared" si="6"/>
        <v>0</v>
      </c>
      <c r="N243" s="332"/>
      <c r="O243" s="356"/>
      <c r="P243" s="5"/>
      <c r="Q243" s="104"/>
    </row>
    <row r="244" spans="1:17" ht="15.6" x14ac:dyDescent="0.3">
      <c r="A244" s="262"/>
      <c r="B244" s="264" t="s">
        <v>227</v>
      </c>
      <c r="C244" s="354"/>
      <c r="D244" s="354"/>
      <c r="E244" s="354"/>
      <c r="F244" s="354"/>
      <c r="G244" s="354"/>
      <c r="H244" s="354"/>
      <c r="I244" s="354"/>
      <c r="J244" s="264">
        <v>3</v>
      </c>
      <c r="K244" s="355">
        <f t="shared" si="5"/>
        <v>4.3668122270742356E-3</v>
      </c>
      <c r="L244" s="265">
        <v>122</v>
      </c>
      <c r="M244" s="355">
        <f t="shared" si="6"/>
        <v>4.4902465955097533E-3</v>
      </c>
      <c r="N244" s="332"/>
      <c r="O244" s="356"/>
      <c r="P244" s="5"/>
    </row>
    <row r="245" spans="1:17" ht="15.6" x14ac:dyDescent="0.3">
      <c r="A245" s="262"/>
      <c r="B245" s="264" t="s">
        <v>228</v>
      </c>
      <c r="C245" s="354"/>
      <c r="D245" s="354"/>
      <c r="E245" s="354"/>
      <c r="F245" s="354"/>
      <c r="G245" s="354"/>
      <c r="H245" s="354"/>
      <c r="I245" s="354"/>
      <c r="J245" s="264">
        <v>1</v>
      </c>
      <c r="K245" s="355">
        <f t="shared" si="5"/>
        <v>1.455604075691412E-3</v>
      </c>
      <c r="L245" s="265">
        <v>17</v>
      </c>
      <c r="M245" s="355">
        <f t="shared" si="6"/>
        <v>6.2569009937430992E-4</v>
      </c>
      <c r="N245" s="332"/>
      <c r="O245" s="356"/>
      <c r="P245" s="5"/>
      <c r="Q245" s="104"/>
    </row>
    <row r="246" spans="1:17" ht="15.6" x14ac:dyDescent="0.3">
      <c r="A246" s="262"/>
      <c r="B246" s="264" t="s">
        <v>229</v>
      </c>
      <c r="C246" s="354"/>
      <c r="D246" s="354"/>
      <c r="E246" s="354"/>
      <c r="F246" s="354"/>
      <c r="G246" s="354"/>
      <c r="H246" s="354"/>
      <c r="I246" s="354"/>
      <c r="J246" s="264">
        <v>2</v>
      </c>
      <c r="K246" s="355">
        <f t="shared" si="5"/>
        <v>2.911208151382824E-3</v>
      </c>
      <c r="L246" s="265">
        <v>40</v>
      </c>
      <c r="M246" s="355">
        <f t="shared" si="6"/>
        <v>1.472211998527788E-3</v>
      </c>
      <c r="N246" s="332"/>
      <c r="O246" s="356"/>
      <c r="P246" s="5"/>
      <c r="Q246" s="104"/>
    </row>
    <row r="247" spans="1:17" ht="15.6" x14ac:dyDescent="0.3">
      <c r="A247" s="262"/>
      <c r="B247" s="264" t="s">
        <v>230</v>
      </c>
      <c r="C247" s="354"/>
      <c r="D247" s="354"/>
      <c r="E247" s="354"/>
      <c r="F247" s="354"/>
      <c r="G247" s="354"/>
      <c r="H247" s="354"/>
      <c r="I247" s="354"/>
      <c r="J247" s="264">
        <v>0</v>
      </c>
      <c r="K247" s="355">
        <f t="shared" si="5"/>
        <v>0</v>
      </c>
      <c r="L247" s="265">
        <v>0</v>
      </c>
      <c r="M247" s="355">
        <f t="shared" si="6"/>
        <v>0</v>
      </c>
      <c r="N247" s="332"/>
      <c r="O247" s="356"/>
      <c r="P247" s="5"/>
      <c r="Q247" s="104"/>
    </row>
    <row r="248" spans="1:17" ht="15.6" x14ac:dyDescent="0.3">
      <c r="A248" s="262"/>
      <c r="B248" s="264" t="s">
        <v>231</v>
      </c>
      <c r="C248" s="354"/>
      <c r="D248" s="354"/>
      <c r="E248" s="354"/>
      <c r="F248" s="354"/>
      <c r="G248" s="354"/>
      <c r="H248" s="354"/>
      <c r="I248" s="354"/>
      <c r="J248" s="264">
        <v>2</v>
      </c>
      <c r="K248" s="355">
        <f t="shared" si="5"/>
        <v>2.911208151382824E-3</v>
      </c>
      <c r="L248" s="265">
        <v>176</v>
      </c>
      <c r="M248" s="355">
        <f t="shared" si="6"/>
        <v>6.4777327935222669E-3</v>
      </c>
      <c r="N248" s="332"/>
      <c r="O248" s="356"/>
      <c r="P248" s="5"/>
      <c r="Q248" s="104"/>
    </row>
    <row r="249" spans="1:17" ht="15.6" x14ac:dyDescent="0.3">
      <c r="A249" s="262"/>
      <c r="B249" s="264" t="s">
        <v>232</v>
      </c>
      <c r="C249" s="354"/>
      <c r="D249" s="354"/>
      <c r="E249" s="354"/>
      <c r="F249" s="354"/>
      <c r="G249" s="354"/>
      <c r="H249" s="354"/>
      <c r="I249" s="354"/>
      <c r="J249" s="264">
        <v>3</v>
      </c>
      <c r="K249" s="355">
        <f t="shared" si="5"/>
        <v>4.3668122270742356E-3</v>
      </c>
      <c r="L249" s="265">
        <v>89</v>
      </c>
      <c r="M249" s="355">
        <f t="shared" si="6"/>
        <v>3.2756716967243284E-3</v>
      </c>
      <c r="N249" s="332"/>
      <c r="O249" s="356"/>
      <c r="P249" s="5"/>
      <c r="Q249" s="104"/>
    </row>
    <row r="250" spans="1:17" ht="15.6" x14ac:dyDescent="0.3">
      <c r="A250" s="262"/>
      <c r="B250" s="264" t="s">
        <v>233</v>
      </c>
      <c r="C250" s="354"/>
      <c r="D250" s="354"/>
      <c r="E250" s="354"/>
      <c r="F250" s="354"/>
      <c r="G250" s="354"/>
      <c r="H250" s="354"/>
      <c r="I250" s="354"/>
      <c r="J250" s="264">
        <v>3</v>
      </c>
      <c r="K250" s="355">
        <f t="shared" si="5"/>
        <v>4.3668122270742356E-3</v>
      </c>
      <c r="L250" s="265">
        <v>116</v>
      </c>
      <c r="M250" s="355">
        <f t="shared" si="6"/>
        <v>4.2694147957305856E-3</v>
      </c>
      <c r="N250" s="332"/>
      <c r="O250" s="356"/>
      <c r="P250" s="5"/>
      <c r="Q250" s="104"/>
    </row>
    <row r="251" spans="1:17" ht="15.6"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687</v>
      </c>
      <c r="K252" s="355">
        <f>SUM(K238:K251)</f>
        <v>1</v>
      </c>
      <c r="L252" s="265">
        <f>SUM(L238:L251)</f>
        <v>27170</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1</v>
      </c>
      <c r="L284" s="265">
        <v>991</v>
      </c>
      <c r="M284" s="355">
        <f t="shared" si="8"/>
        <v>1</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1</v>
      </c>
      <c r="K286" s="355">
        <f>SUM(K272:K284)</f>
        <v>1</v>
      </c>
      <c r="L286" s="265">
        <f>SUM(L272:L284)</f>
        <v>991</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688</v>
      </c>
      <c r="K288" s="355"/>
      <c r="L288" s="359">
        <f>+L286+L269+L252</f>
        <v>28161</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NOVEMBER 2015</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53" orientation="landscape" r:id="rId1"/>
  <headerFooter alignWithMargins="0"/>
  <rowBreaks count="3" manualBreakCount="3">
    <brk id="52" max="14" man="1"/>
    <brk id="115" max="14" man="1"/>
    <brk id="182" max="14" man="1"/>
  </rowBreaks>
  <colBreaks count="1" manualBreakCount="1">
    <brk id="15" max="298"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299"/>
  <sheetViews>
    <sheetView showGridLines="0" showOutlineSymbols="0" zoomScale="80" zoomScaleNormal="8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0.13100000000000001</v>
      </c>
      <c r="L16" s="232" t="s">
        <v>133</v>
      </c>
      <c r="M16" s="231">
        <v>0.86899999999999999</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42450</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24963.662900000003</v>
      </c>
      <c r="E29" s="279"/>
      <c r="F29" s="279">
        <f>F28*F32</f>
        <v>1598.20047</v>
      </c>
      <c r="G29" s="279"/>
      <c r="H29" s="279">
        <f>H28*H32</f>
        <v>1598.20047</v>
      </c>
      <c r="I29" s="279"/>
      <c r="J29" s="284"/>
      <c r="K29" s="279"/>
      <c r="L29" s="279"/>
      <c r="M29" s="280"/>
      <c r="N29" s="279">
        <f>SUM(D29:H29)+1</f>
        <v>28161.063840000003</v>
      </c>
      <c r="O29" s="281"/>
      <c r="P29" s="5"/>
    </row>
    <row r="30" spans="1:16" ht="15.6" x14ac:dyDescent="0.3">
      <c r="A30" s="274"/>
      <c r="B30" s="275" t="s">
        <v>130</v>
      </c>
      <c r="C30" s="278"/>
      <c r="D30" s="285">
        <f>D28*D31</f>
        <v>22819.643699999997</v>
      </c>
      <c r="E30" s="285"/>
      <c r="F30" s="285">
        <f>F28*F31</f>
        <v>1598.20047</v>
      </c>
      <c r="G30" s="285"/>
      <c r="H30" s="285">
        <f>H28*H31</f>
        <v>1598.20047</v>
      </c>
      <c r="I30" s="285"/>
      <c r="J30" s="288"/>
      <c r="K30" s="279"/>
      <c r="L30" s="279"/>
      <c r="M30" s="280"/>
      <c r="N30" s="285">
        <f>SUM(D30:I30)+1</f>
        <v>26017.044639999996</v>
      </c>
      <c r="O30" s="281"/>
      <c r="P30" s="5"/>
    </row>
    <row r="31" spans="1:16" ht="15.6" x14ac:dyDescent="0.3">
      <c r="A31" s="262"/>
      <c r="B31" s="290" t="s">
        <v>126</v>
      </c>
      <c r="C31" s="291"/>
      <c r="D31" s="292">
        <v>8.7599399999999994E-2</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9.5829800000000007E-2</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8.2337999999999995E-3</v>
      </c>
      <c r="E34" s="297"/>
      <c r="F34" s="298">
        <v>9.4338000000000009E-3</v>
      </c>
      <c r="G34" s="297"/>
      <c r="H34" s="298">
        <v>1.1433799999999999E-2</v>
      </c>
      <c r="I34" s="297"/>
      <c r="J34" s="298"/>
      <c r="K34" s="297"/>
      <c r="L34" s="298"/>
      <c r="M34" s="268"/>
      <c r="N34" s="297">
        <f>SUMPRODUCT(D34:H34,D29:H29)/N29</f>
        <v>8.4832170073938507E-3</v>
      </c>
      <c r="O34" s="266"/>
      <c r="P34" s="5"/>
    </row>
    <row r="35" spans="1:17" ht="15.6" x14ac:dyDescent="0.3">
      <c r="A35" s="274"/>
      <c r="B35" s="263" t="s">
        <v>11</v>
      </c>
      <c r="C35" s="263"/>
      <c r="D35" s="298">
        <v>8.2749999999999994E-3</v>
      </c>
      <c r="E35" s="297"/>
      <c r="F35" s="298">
        <v>9.4750000000000008E-3</v>
      </c>
      <c r="G35" s="297"/>
      <c r="H35" s="298">
        <v>1.1475000000000001E-2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0.14007234214616596</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42444</v>
      </c>
      <c r="O45" s="266"/>
      <c r="P45" s="5"/>
    </row>
    <row r="46" spans="1:17" ht="15.6" x14ac:dyDescent="0.3">
      <c r="A46" s="274"/>
      <c r="B46" s="263" t="s">
        <v>119</v>
      </c>
      <c r="C46" s="263"/>
      <c r="D46" s="305"/>
      <c r="E46" s="305"/>
      <c r="F46" s="305"/>
      <c r="G46" s="305"/>
      <c r="H46" s="305"/>
      <c r="I46" s="305"/>
      <c r="J46" s="263">
        <f>+N46-L46+1</f>
        <v>91</v>
      </c>
      <c r="K46" s="305"/>
      <c r="L46" s="306">
        <v>42262</v>
      </c>
      <c r="M46" s="307"/>
      <c r="N46" s="306">
        <v>42352</v>
      </c>
      <c r="O46" s="266"/>
      <c r="P46" s="5"/>
    </row>
    <row r="47" spans="1:17" ht="15.6" x14ac:dyDescent="0.3">
      <c r="A47" s="274"/>
      <c r="B47" s="263" t="s">
        <v>120</v>
      </c>
      <c r="C47" s="263"/>
      <c r="D47" s="263"/>
      <c r="E47" s="263"/>
      <c r="F47" s="263"/>
      <c r="G47" s="263"/>
      <c r="H47" s="263"/>
      <c r="I47" s="263"/>
      <c r="J47" s="263">
        <f>+N47-L47+1</f>
        <v>91</v>
      </c>
      <c r="K47" s="263"/>
      <c r="L47" s="306">
        <v>42353</v>
      </c>
      <c r="M47" s="307"/>
      <c r="N47" s="306">
        <v>42443</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42430</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286</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28161</v>
      </c>
      <c r="G56" s="264"/>
      <c r="H56" s="264">
        <v>2144</v>
      </c>
      <c r="I56" s="264"/>
      <c r="J56" s="264">
        <v>0</v>
      </c>
      <c r="K56" s="264"/>
      <c r="L56" s="264">
        <v>0</v>
      </c>
      <c r="M56" s="264"/>
      <c r="N56" s="265">
        <f>+F56-H56+J56-L56</f>
        <v>26017</v>
      </c>
      <c r="O56" s="266"/>
      <c r="P56" s="5"/>
    </row>
    <row r="57" spans="1:16" ht="15.6" x14ac:dyDescent="0.3">
      <c r="A57" s="262"/>
      <c r="B57" s="263" t="s">
        <v>209</v>
      </c>
      <c r="C57" s="264"/>
      <c r="D57" s="264">
        <v>756</v>
      </c>
      <c r="E57" s="264"/>
      <c r="F57" s="265">
        <v>233</v>
      </c>
      <c r="G57" s="264"/>
      <c r="H57" s="264">
        <v>16</v>
      </c>
      <c r="I57" s="264"/>
      <c r="J57" s="264">
        <v>0</v>
      </c>
      <c r="K57" s="264"/>
      <c r="L57" s="264">
        <v>0</v>
      </c>
      <c r="M57" s="264"/>
      <c r="N57" s="265">
        <f>+F57-H57</f>
        <v>217</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28394</v>
      </c>
      <c r="G59" s="264"/>
      <c r="H59" s="264">
        <f>SUM(H56:H58)</f>
        <v>2160</v>
      </c>
      <c r="I59" s="264"/>
      <c r="J59" s="264">
        <f>SUM(J56:J58)</f>
        <v>0</v>
      </c>
      <c r="K59" s="264"/>
      <c r="L59" s="264">
        <f>SUM(L56:L58)</f>
        <v>0</v>
      </c>
      <c r="M59" s="264"/>
      <c r="N59" s="264">
        <f>SUM(N56:N58)</f>
        <v>26234</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-233</v>
      </c>
      <c r="G68" s="264"/>
      <c r="H68" s="264"/>
      <c r="I68" s="264"/>
      <c r="J68" s="264"/>
      <c r="K68" s="264"/>
      <c r="L68" s="264"/>
      <c r="M68" s="264"/>
      <c r="N68" s="265">
        <f>-N57</f>
        <v>-217</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28161</v>
      </c>
      <c r="G72" s="264"/>
      <c r="H72" s="264"/>
      <c r="I72" s="264"/>
      <c r="J72" s="264"/>
      <c r="K72" s="264"/>
      <c r="L72" s="264"/>
      <c r="M72" s="264"/>
      <c r="N72" s="264">
        <f>SUM(N59:N71)</f>
        <v>26017</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42429</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2144-1</f>
        <v>2143</v>
      </c>
      <c r="M77" s="263"/>
      <c r="N77" s="265"/>
      <c r="O77" s="266"/>
      <c r="P77" s="5"/>
    </row>
    <row r="78" spans="1:16" ht="15.6" x14ac:dyDescent="0.3">
      <c r="A78" s="262"/>
      <c r="B78" s="263" t="s">
        <v>176</v>
      </c>
      <c r="C78" s="263"/>
      <c r="D78" s="300"/>
      <c r="E78" s="263"/>
      <c r="F78" s="309"/>
      <c r="G78" s="263"/>
      <c r="H78" s="263"/>
      <c r="I78" s="263"/>
      <c r="J78" s="263"/>
      <c r="K78" s="263"/>
      <c r="L78" s="264"/>
      <c r="M78" s="263"/>
      <c r="N78" s="265">
        <f>984+122+358-890-85-272</f>
        <v>217</v>
      </c>
      <c r="O78" s="266"/>
      <c r="P78" s="5"/>
    </row>
    <row r="79" spans="1:16" ht="15.6" x14ac:dyDescent="0.3">
      <c r="A79" s="262"/>
      <c r="B79" s="263" t="s">
        <v>174</v>
      </c>
      <c r="C79" s="263"/>
      <c r="D79" s="300"/>
      <c r="E79" s="263"/>
      <c r="F79" s="309"/>
      <c r="G79" s="263"/>
      <c r="H79" s="263"/>
      <c r="I79" s="263"/>
      <c r="J79" s="263"/>
      <c r="K79" s="263"/>
      <c r="L79" s="264"/>
      <c r="M79" s="263"/>
      <c r="N79" s="265">
        <f>116+1+10</f>
        <v>127</v>
      </c>
      <c r="O79" s="266"/>
      <c r="P79" s="5"/>
    </row>
    <row r="80" spans="1:16" ht="15.6" x14ac:dyDescent="0.3">
      <c r="A80" s="262"/>
      <c r="B80" s="263" t="s">
        <v>175</v>
      </c>
      <c r="C80" s="263"/>
      <c r="D80" s="300"/>
      <c r="E80" s="263"/>
      <c r="F80" s="309"/>
      <c r="G80" s="263"/>
      <c r="H80" s="263"/>
      <c r="I80" s="263"/>
      <c r="J80" s="263"/>
      <c r="K80" s="263"/>
      <c r="L80" s="264"/>
      <c r="M80" s="263"/>
      <c r="N80" s="265">
        <v>2</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2143</v>
      </c>
      <c r="M83" s="263"/>
      <c r="N83" s="264">
        <f>SUM(N76:N82)</f>
        <v>346</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2143</v>
      </c>
      <c r="M87" s="263"/>
      <c r="N87" s="264">
        <f>N83+N85+N84+N86</f>
        <v>346</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-11-1-61</f>
        <v>-73</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-51</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1</v>
      </c>
      <c r="M98" s="263"/>
      <c r="N98" s="265">
        <v>-1</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-11</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-193</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-2144</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-2144</v>
      </c>
      <c r="M111" s="264"/>
      <c r="N111" s="264">
        <f>SUM(N88:N109)</f>
        <v>-346</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FEBRUARY 2016</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v>
      </c>
      <c r="O144" s="266"/>
      <c r="P144" s="5"/>
    </row>
    <row r="145" spans="1:256" ht="15.6" x14ac:dyDescent="0.3">
      <c r="A145" s="262"/>
      <c r="B145" s="263" t="s">
        <v>51</v>
      </c>
      <c r="C145" s="263"/>
      <c r="D145" s="263"/>
      <c r="E145" s="263"/>
      <c r="F145" s="263"/>
      <c r="G145" s="263"/>
      <c r="H145" s="263"/>
      <c r="I145" s="263"/>
      <c r="J145" s="263"/>
      <c r="K145" s="263"/>
      <c r="L145" s="263"/>
      <c r="M145" s="263"/>
      <c r="N145" s="265">
        <f>+N143+N144</f>
        <v>1</v>
      </c>
      <c r="O145" s="266"/>
      <c r="P145" s="5"/>
    </row>
    <row r="146" spans="1:256" ht="15.6" x14ac:dyDescent="0.3">
      <c r="A146" s="262"/>
      <c r="B146" s="263" t="s">
        <v>264</v>
      </c>
      <c r="C146" s="263"/>
      <c r="D146" s="263"/>
      <c r="E146" s="263"/>
      <c r="F146" s="263"/>
      <c r="G146" s="263"/>
      <c r="H146" s="263"/>
      <c r="I146" s="263"/>
      <c r="J146" s="263"/>
      <c r="K146" s="263"/>
      <c r="L146" s="263"/>
      <c r="M146" s="263"/>
      <c r="N146" s="265">
        <f>N98</f>
        <v>-1</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26017</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26017</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+'Nov 15'!N161</f>
        <v>233</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16</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217</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+'Nov 15'!L168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5.3137254901960782</v>
      </c>
      <c r="O173" s="266" t="s">
        <v>115</v>
      </c>
      <c r="P173" s="5"/>
    </row>
    <row r="174" spans="1:256" ht="15.6" x14ac:dyDescent="0.3">
      <c r="A174" s="262"/>
      <c r="B174" s="263" t="s">
        <v>63</v>
      </c>
      <c r="C174" s="263"/>
      <c r="D174" s="263"/>
      <c r="E174" s="263"/>
      <c r="F174" s="263"/>
      <c r="G174" s="263"/>
      <c r="H174" s="263"/>
      <c r="I174" s="263"/>
      <c r="J174" s="263"/>
      <c r="K174" s="263"/>
      <c r="L174" s="263"/>
      <c r="M174" s="263"/>
      <c r="N174" s="315">
        <v>2.16</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55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49.62</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54</v>
      </c>
      <c r="O177" s="266" t="s">
        <v>115</v>
      </c>
      <c r="P177" s="5"/>
    </row>
    <row r="178" spans="1:16" ht="15.6" x14ac:dyDescent="0.3">
      <c r="A178" s="262"/>
      <c r="B178" s="263" t="s">
        <v>167</v>
      </c>
      <c r="C178" s="263"/>
      <c r="D178" s="263"/>
      <c r="E178" s="263"/>
      <c r="F178" s="263"/>
      <c r="G178" s="263"/>
      <c r="H178" s="263"/>
      <c r="I178" s="263"/>
      <c r="J178" s="263"/>
      <c r="K178" s="263"/>
      <c r="L178" s="263"/>
      <c r="M178" s="263"/>
      <c r="N178" s="315">
        <v>46.8</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FEBRUARY 2016</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42429</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4.6620000000000002E-2</v>
      </c>
      <c r="M188" s="263"/>
      <c r="N188" s="263"/>
      <c r="O188" s="266"/>
      <c r="P188" s="5"/>
    </row>
    <row r="189" spans="1:16" ht="15.6" x14ac:dyDescent="0.3">
      <c r="A189" s="321"/>
      <c r="B189" s="263" t="s">
        <v>212</v>
      </c>
      <c r="C189" s="322"/>
      <c r="D189" s="303"/>
      <c r="E189" s="303"/>
      <c r="F189" s="303"/>
      <c r="G189" s="303"/>
      <c r="H189" s="303"/>
      <c r="I189" s="303"/>
      <c r="J189" s="303"/>
      <c r="K189" s="303"/>
      <c r="L189" s="297">
        <f>N34</f>
        <v>8.4832170073938507E-3</v>
      </c>
      <c r="M189" s="263"/>
      <c r="N189" s="263"/>
      <c r="O189" s="266"/>
      <c r="P189" s="5"/>
    </row>
    <row r="190" spans="1:16" ht="15.6" x14ac:dyDescent="0.3">
      <c r="A190" s="321"/>
      <c r="B190" s="263" t="s">
        <v>70</v>
      </c>
      <c r="C190" s="322"/>
      <c r="D190" s="303"/>
      <c r="E190" s="303"/>
      <c r="F190" s="303"/>
      <c r="G190" s="303"/>
      <c r="H190" s="303"/>
      <c r="I190" s="303"/>
      <c r="J190" s="303"/>
      <c r="K190" s="303"/>
      <c r="L190" s="297">
        <f>L188-L189</f>
        <v>3.8136782992606151E-2</v>
      </c>
      <c r="M190" s="263"/>
      <c r="N190" s="263"/>
      <c r="O190" s="266"/>
      <c r="P190" s="5"/>
    </row>
    <row r="191" spans="1:16" ht="15.6" x14ac:dyDescent="0.3">
      <c r="A191" s="321"/>
      <c r="B191" s="263" t="s">
        <v>203</v>
      </c>
      <c r="C191" s="322"/>
      <c r="D191" s="303"/>
      <c r="E191" s="303"/>
      <c r="F191" s="303"/>
      <c r="G191" s="303"/>
      <c r="H191" s="303"/>
      <c r="I191" s="303"/>
      <c r="J191" s="303"/>
      <c r="K191" s="303"/>
      <c r="L191" s="297">
        <f>+N87/F59</f>
        <v>1.2185673029513278E-2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4.4800000000000004</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7.6133660026277472E-2</v>
      </c>
      <c r="M197" s="263"/>
      <c r="N197" s="263"/>
      <c r="O197" s="266"/>
      <c r="P197" s="5"/>
    </row>
    <row r="198" spans="1:16" ht="15.6" x14ac:dyDescent="0.3">
      <c r="A198" s="321"/>
      <c r="B198" s="263" t="s">
        <v>74</v>
      </c>
      <c r="C198" s="322"/>
      <c r="D198" s="303"/>
      <c r="E198" s="303"/>
      <c r="F198" s="303"/>
      <c r="G198" s="303"/>
      <c r="H198" s="303"/>
      <c r="I198" s="303"/>
      <c r="J198" s="303"/>
      <c r="K198" s="303"/>
      <c r="L198" s="297">
        <v>0.26900000000000002</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9</v>
      </c>
      <c r="L201" s="331">
        <v>721</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1</v>
      </c>
      <c r="L203" s="331">
        <f>+L286</f>
        <v>991</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v>
      </c>
      <c r="M207" s="291"/>
      <c r="N207" s="337"/>
      <c r="O207" s="342"/>
      <c r="P207" s="5"/>
    </row>
    <row r="208" spans="1:16" ht="15.6" x14ac:dyDescent="0.3">
      <c r="A208" s="330"/>
      <c r="B208" s="263" t="s">
        <v>82</v>
      </c>
      <c r="C208" s="264"/>
      <c r="D208" s="263"/>
      <c r="E208" s="263"/>
      <c r="F208" s="263"/>
      <c r="G208" s="263"/>
      <c r="H208" s="263"/>
      <c r="I208" s="263"/>
      <c r="J208" s="263"/>
      <c r="K208" s="276"/>
      <c r="L208" s="331">
        <f>'Nov 15'!L208+L207</f>
        <v>45</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602</v>
      </c>
      <c r="K221" s="355">
        <f t="shared" ref="K221:K233" si="2">J221/$J$235</f>
        <v>0.94357366771159878</v>
      </c>
      <c r="L221" s="265">
        <f t="shared" ref="L221:L233" si="3">+L238+L255+L272</f>
        <v>23429</v>
      </c>
      <c r="M221" s="355">
        <f t="shared" ref="M221:M233" si="4">L221/$L$235</f>
        <v>0.90052657877541609</v>
      </c>
      <c r="N221" s="332"/>
      <c r="O221" s="356"/>
      <c r="P221" s="5"/>
    </row>
    <row r="222" spans="1:17" ht="15.6" x14ac:dyDescent="0.3">
      <c r="A222" s="262"/>
      <c r="B222" s="264" t="s">
        <v>86</v>
      </c>
      <c r="C222" s="354"/>
      <c r="D222" s="354"/>
      <c r="E222" s="354"/>
      <c r="F222" s="354"/>
      <c r="G222" s="354"/>
      <c r="H222" s="354"/>
      <c r="I222" s="354"/>
      <c r="J222" s="264">
        <f t="shared" si="1"/>
        <v>13</v>
      </c>
      <c r="K222" s="355">
        <f t="shared" si="2"/>
        <v>2.037617554858934E-2</v>
      </c>
      <c r="L222" s="265">
        <f t="shared" si="3"/>
        <v>680</v>
      </c>
      <c r="M222" s="355">
        <f t="shared" si="4"/>
        <v>2.6136756735980319E-2</v>
      </c>
      <c r="N222" s="332"/>
      <c r="O222" s="356"/>
      <c r="P222" s="5"/>
      <c r="Q222" s="104"/>
    </row>
    <row r="223" spans="1:17" ht="15.6" x14ac:dyDescent="0.3">
      <c r="A223" s="262"/>
      <c r="B223" s="264" t="s">
        <v>87</v>
      </c>
      <c r="C223" s="354"/>
      <c r="D223" s="354"/>
      <c r="E223" s="354"/>
      <c r="F223" s="354"/>
      <c r="G223" s="354"/>
      <c r="H223" s="354"/>
      <c r="I223" s="354"/>
      <c r="J223" s="264">
        <f t="shared" si="1"/>
        <v>5</v>
      </c>
      <c r="K223" s="355">
        <f t="shared" si="2"/>
        <v>7.8369905956112845E-3</v>
      </c>
      <c r="L223" s="265">
        <f t="shared" si="3"/>
        <v>272</v>
      </c>
      <c r="M223" s="355">
        <f t="shared" si="4"/>
        <v>1.0454702694392129E-2</v>
      </c>
      <c r="N223" s="332"/>
      <c r="O223" s="356"/>
      <c r="P223" s="5"/>
    </row>
    <row r="224" spans="1:17" ht="15.6" x14ac:dyDescent="0.3">
      <c r="A224" s="262"/>
      <c r="B224" s="264" t="s">
        <v>145</v>
      </c>
      <c r="C224" s="354"/>
      <c r="D224" s="354"/>
      <c r="E224" s="354"/>
      <c r="F224" s="354"/>
      <c r="G224" s="354"/>
      <c r="H224" s="354"/>
      <c r="I224" s="354"/>
      <c r="J224" s="264">
        <f t="shared" si="1"/>
        <v>2</v>
      </c>
      <c r="K224" s="355">
        <f t="shared" si="2"/>
        <v>3.134796238244514E-3</v>
      </c>
      <c r="L224" s="265">
        <f t="shared" si="3"/>
        <v>72</v>
      </c>
      <c r="M224" s="355">
        <f t="shared" si="4"/>
        <v>2.7674213014567397E-3</v>
      </c>
      <c r="N224" s="332"/>
      <c r="O224" s="356"/>
      <c r="P224" s="5"/>
      <c r="Q224" s="104"/>
    </row>
    <row r="225" spans="1:17" ht="15.6" x14ac:dyDescent="0.3">
      <c r="A225" s="262"/>
      <c r="B225" s="264" t="s">
        <v>146</v>
      </c>
      <c r="C225" s="354"/>
      <c r="D225" s="354"/>
      <c r="E225" s="354"/>
      <c r="F225" s="354"/>
      <c r="G225" s="354"/>
      <c r="H225" s="354"/>
      <c r="I225" s="354"/>
      <c r="J225" s="264">
        <f t="shared" si="1"/>
        <v>1</v>
      </c>
      <c r="K225" s="355">
        <f t="shared" si="2"/>
        <v>1.567398119122257E-3</v>
      </c>
      <c r="L225" s="265">
        <f t="shared" si="3"/>
        <v>21</v>
      </c>
      <c r="M225" s="355">
        <f t="shared" si="4"/>
        <v>8.0716454625821582E-4</v>
      </c>
      <c r="N225" s="332"/>
      <c r="O225" s="356"/>
      <c r="P225" s="5"/>
    </row>
    <row r="226" spans="1:17" ht="15.6" x14ac:dyDescent="0.3">
      <c r="A226" s="262"/>
      <c r="B226" s="264" t="s">
        <v>147</v>
      </c>
      <c r="C226" s="354"/>
      <c r="D226" s="354"/>
      <c r="E226" s="354"/>
      <c r="F226" s="354"/>
      <c r="G226" s="354"/>
      <c r="H226" s="354"/>
      <c r="I226" s="354"/>
      <c r="J226" s="264">
        <f t="shared" si="1"/>
        <v>0</v>
      </c>
      <c r="K226" s="355">
        <f t="shared" si="2"/>
        <v>0</v>
      </c>
      <c r="L226" s="265">
        <f t="shared" si="3"/>
        <v>0</v>
      </c>
      <c r="M226" s="355">
        <f t="shared" si="4"/>
        <v>0</v>
      </c>
      <c r="N226" s="332"/>
      <c r="O226" s="356"/>
      <c r="P226" s="5"/>
      <c r="Q226" s="104"/>
    </row>
    <row r="227" spans="1:17" ht="15.6" x14ac:dyDescent="0.3">
      <c r="A227" s="262"/>
      <c r="B227" s="264" t="s">
        <v>227</v>
      </c>
      <c r="C227" s="354"/>
      <c r="D227" s="354"/>
      <c r="E227" s="354"/>
      <c r="F227" s="354"/>
      <c r="G227" s="354"/>
      <c r="H227" s="354"/>
      <c r="I227" s="354"/>
      <c r="J227" s="264">
        <f t="shared" si="1"/>
        <v>2</v>
      </c>
      <c r="K227" s="355">
        <f t="shared" si="2"/>
        <v>3.134796238244514E-3</v>
      </c>
      <c r="L227" s="265">
        <f t="shared" si="3"/>
        <v>88</v>
      </c>
      <c r="M227" s="355">
        <f t="shared" si="4"/>
        <v>3.3824038128915709E-3</v>
      </c>
      <c r="N227" s="332"/>
      <c r="O227" s="356"/>
      <c r="P227" s="5"/>
    </row>
    <row r="228" spans="1:17" ht="15.6" x14ac:dyDescent="0.3">
      <c r="A228" s="262"/>
      <c r="B228" s="264" t="s">
        <v>228</v>
      </c>
      <c r="C228" s="354"/>
      <c r="D228" s="354"/>
      <c r="E228" s="354"/>
      <c r="F228" s="354"/>
      <c r="G228" s="354"/>
      <c r="H228" s="354"/>
      <c r="I228" s="354"/>
      <c r="J228" s="264">
        <f t="shared" si="1"/>
        <v>2</v>
      </c>
      <c r="K228" s="355">
        <f t="shared" si="2"/>
        <v>3.134796238244514E-3</v>
      </c>
      <c r="L228" s="265">
        <f t="shared" si="3"/>
        <v>47</v>
      </c>
      <c r="M228" s="355">
        <f t="shared" si="4"/>
        <v>1.8065111273398162E-3</v>
      </c>
      <c r="N228" s="332"/>
      <c r="O228" s="356"/>
      <c r="P228" s="5"/>
      <c r="Q228" s="104"/>
    </row>
    <row r="229" spans="1:17" ht="15.6" x14ac:dyDescent="0.3">
      <c r="A229" s="262"/>
      <c r="B229" s="264" t="s">
        <v>229</v>
      </c>
      <c r="C229" s="354"/>
      <c r="D229" s="354"/>
      <c r="E229" s="354"/>
      <c r="F229" s="354"/>
      <c r="G229" s="354"/>
      <c r="H229" s="354"/>
      <c r="I229" s="354"/>
      <c r="J229" s="264">
        <f t="shared" si="1"/>
        <v>2</v>
      </c>
      <c r="K229" s="355">
        <f t="shared" si="2"/>
        <v>3.134796238244514E-3</v>
      </c>
      <c r="L229" s="265">
        <f t="shared" si="3"/>
        <v>41</v>
      </c>
      <c r="M229" s="355">
        <f t="shared" si="4"/>
        <v>1.5758926855517546E-3</v>
      </c>
      <c r="N229" s="332"/>
      <c r="O229" s="356"/>
      <c r="P229" s="5"/>
      <c r="Q229" s="104"/>
    </row>
    <row r="230" spans="1:17" ht="15.6" x14ac:dyDescent="0.3">
      <c r="A230" s="262"/>
      <c r="B230" s="264" t="s">
        <v>230</v>
      </c>
      <c r="C230" s="354"/>
      <c r="D230" s="354"/>
      <c r="E230" s="354"/>
      <c r="F230" s="354"/>
      <c r="G230" s="354"/>
      <c r="H230" s="354"/>
      <c r="I230" s="354"/>
      <c r="J230" s="264">
        <f t="shared" si="1"/>
        <v>0</v>
      </c>
      <c r="K230" s="355">
        <f t="shared" si="2"/>
        <v>0</v>
      </c>
      <c r="L230" s="265">
        <f t="shared" si="3"/>
        <v>0</v>
      </c>
      <c r="M230" s="355">
        <f t="shared" si="4"/>
        <v>0</v>
      </c>
      <c r="N230" s="332"/>
      <c r="O230" s="356"/>
      <c r="P230" s="5"/>
      <c r="Q230" s="104"/>
    </row>
    <row r="231" spans="1:17" ht="15.6" x14ac:dyDescent="0.3">
      <c r="A231" s="262"/>
      <c r="B231" s="264" t="s">
        <v>231</v>
      </c>
      <c r="C231" s="354"/>
      <c r="D231" s="354"/>
      <c r="E231" s="354"/>
      <c r="F231" s="354"/>
      <c r="G231" s="354"/>
      <c r="H231" s="354"/>
      <c r="I231" s="354"/>
      <c r="J231" s="264">
        <f t="shared" si="1"/>
        <v>2</v>
      </c>
      <c r="K231" s="355">
        <f t="shared" si="2"/>
        <v>3.134796238244514E-3</v>
      </c>
      <c r="L231" s="265">
        <f t="shared" si="3"/>
        <v>167</v>
      </c>
      <c r="M231" s="355">
        <f t="shared" si="4"/>
        <v>6.4188799631010492E-3</v>
      </c>
      <c r="N231" s="332"/>
      <c r="O231" s="356"/>
      <c r="P231" s="5"/>
      <c r="Q231" s="104"/>
    </row>
    <row r="232" spans="1:17" ht="15.6" x14ac:dyDescent="0.3">
      <c r="A232" s="262"/>
      <c r="B232" s="264" t="s">
        <v>232</v>
      </c>
      <c r="C232" s="354"/>
      <c r="D232" s="354"/>
      <c r="E232" s="354"/>
      <c r="F232" s="354"/>
      <c r="G232" s="354"/>
      <c r="H232" s="354"/>
      <c r="I232" s="354"/>
      <c r="J232" s="264">
        <f t="shared" si="1"/>
        <v>2</v>
      </c>
      <c r="K232" s="355">
        <f t="shared" si="2"/>
        <v>3.134796238244514E-3</v>
      </c>
      <c r="L232" s="265">
        <f t="shared" si="3"/>
        <v>63</v>
      </c>
      <c r="M232" s="355">
        <f t="shared" si="4"/>
        <v>2.4214936387746471E-3</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7.8369905956112845E-3</v>
      </c>
      <c r="L233" s="265">
        <f t="shared" si="3"/>
        <v>1137</v>
      </c>
      <c r="M233" s="355">
        <f t="shared" si="4"/>
        <v>4.3702194718837684E-2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638</v>
      </c>
      <c r="K235" s="355">
        <f>SUM(K221:K234)</f>
        <v>1.0000000000000002</v>
      </c>
      <c r="L235" s="265">
        <f>SUM(L221:L234)</f>
        <v>26017</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602</v>
      </c>
      <c r="K238" s="355">
        <f t="shared" ref="K238:K250" si="5">J238/$J$252</f>
        <v>0.94505494505494503</v>
      </c>
      <c r="L238" s="265">
        <v>23429</v>
      </c>
      <c r="M238" s="355">
        <f t="shared" ref="M238:M250" si="6">L238/$L$252</f>
        <v>0.93618636617917361</v>
      </c>
      <c r="N238" s="332"/>
      <c r="O238" s="356"/>
      <c r="P238" s="5"/>
    </row>
    <row r="239" spans="1:17" ht="15.6" x14ac:dyDescent="0.3">
      <c r="A239" s="262"/>
      <c r="B239" s="264" t="s">
        <v>86</v>
      </c>
      <c r="C239" s="354"/>
      <c r="D239" s="354"/>
      <c r="E239" s="354"/>
      <c r="F239" s="354"/>
      <c r="G239" s="354"/>
      <c r="H239" s="354"/>
      <c r="I239" s="354"/>
      <c r="J239" s="264">
        <v>13</v>
      </c>
      <c r="K239" s="355">
        <f t="shared" si="5"/>
        <v>2.0408163265306121E-2</v>
      </c>
      <c r="L239" s="265">
        <v>680</v>
      </c>
      <c r="M239" s="355">
        <f t="shared" si="6"/>
        <v>2.7171741388955485E-2</v>
      </c>
      <c r="N239" s="332"/>
      <c r="O239" s="356"/>
      <c r="P239" s="5"/>
      <c r="Q239" s="104"/>
    </row>
    <row r="240" spans="1:17" ht="15.6" x14ac:dyDescent="0.3">
      <c r="A240" s="262"/>
      <c r="B240" s="264" t="s">
        <v>87</v>
      </c>
      <c r="C240" s="354"/>
      <c r="D240" s="354"/>
      <c r="E240" s="354"/>
      <c r="F240" s="354"/>
      <c r="G240" s="354"/>
      <c r="H240" s="354"/>
      <c r="I240" s="354"/>
      <c r="J240" s="264">
        <v>5</v>
      </c>
      <c r="K240" s="355">
        <f t="shared" si="5"/>
        <v>7.8492935635792772E-3</v>
      </c>
      <c r="L240" s="265">
        <v>272</v>
      </c>
      <c r="M240" s="355">
        <f t="shared" si="6"/>
        <v>1.0868696555582194E-2</v>
      </c>
      <c r="N240" s="332"/>
      <c r="O240" s="356"/>
      <c r="P240" s="5"/>
    </row>
    <row r="241" spans="1:17" ht="15.6" x14ac:dyDescent="0.3">
      <c r="A241" s="262"/>
      <c r="B241" s="264" t="s">
        <v>145</v>
      </c>
      <c r="C241" s="354"/>
      <c r="D241" s="354"/>
      <c r="E241" s="354"/>
      <c r="F241" s="354"/>
      <c r="G241" s="354"/>
      <c r="H241" s="354"/>
      <c r="I241" s="354"/>
      <c r="J241" s="264">
        <v>2</v>
      </c>
      <c r="K241" s="355">
        <f t="shared" si="5"/>
        <v>3.1397174254317113E-3</v>
      </c>
      <c r="L241" s="265">
        <v>72</v>
      </c>
      <c r="M241" s="355">
        <f t="shared" si="6"/>
        <v>2.8770079117717575E-3</v>
      </c>
      <c r="N241" s="332"/>
      <c r="O241" s="356"/>
      <c r="P241" s="5"/>
      <c r="Q241" s="104"/>
    </row>
    <row r="242" spans="1:17" ht="15.6" x14ac:dyDescent="0.3">
      <c r="A242" s="262"/>
      <c r="B242" s="264" t="s">
        <v>146</v>
      </c>
      <c r="C242" s="354"/>
      <c r="D242" s="354"/>
      <c r="E242" s="354"/>
      <c r="F242" s="354"/>
      <c r="G242" s="354"/>
      <c r="H242" s="354"/>
      <c r="I242" s="354"/>
      <c r="J242" s="264">
        <v>1</v>
      </c>
      <c r="K242" s="355">
        <f t="shared" si="5"/>
        <v>1.5698587127158557E-3</v>
      </c>
      <c r="L242" s="265">
        <v>21</v>
      </c>
      <c r="M242" s="355">
        <f t="shared" si="6"/>
        <v>8.3912730760009595E-4</v>
      </c>
      <c r="N242" s="332"/>
      <c r="O242" s="356"/>
      <c r="P242" s="5"/>
    </row>
    <row r="243" spans="1:17" ht="15.6" x14ac:dyDescent="0.3">
      <c r="A243" s="262"/>
      <c r="B243" s="264" t="s">
        <v>147</v>
      </c>
      <c r="C243" s="354"/>
      <c r="D243" s="354"/>
      <c r="E243" s="354"/>
      <c r="F243" s="354"/>
      <c r="G243" s="354"/>
      <c r="H243" s="354"/>
      <c r="I243" s="354"/>
      <c r="J243" s="264">
        <v>0</v>
      </c>
      <c r="K243" s="355">
        <f t="shared" si="5"/>
        <v>0</v>
      </c>
      <c r="L243" s="265">
        <v>0</v>
      </c>
      <c r="M243" s="355">
        <f t="shared" si="6"/>
        <v>0</v>
      </c>
      <c r="N243" s="332"/>
      <c r="O243" s="356"/>
      <c r="P243" s="5"/>
      <c r="Q243" s="104"/>
    </row>
    <row r="244" spans="1:17" ht="15.6" x14ac:dyDescent="0.3">
      <c r="A244" s="262"/>
      <c r="B244" s="264" t="s">
        <v>227</v>
      </c>
      <c r="C244" s="354"/>
      <c r="D244" s="354"/>
      <c r="E244" s="354"/>
      <c r="F244" s="354"/>
      <c r="G244" s="354"/>
      <c r="H244" s="354"/>
      <c r="I244" s="354"/>
      <c r="J244" s="264">
        <v>2</v>
      </c>
      <c r="K244" s="355">
        <f t="shared" si="5"/>
        <v>3.1397174254317113E-3</v>
      </c>
      <c r="L244" s="265">
        <v>88</v>
      </c>
      <c r="M244" s="355">
        <f t="shared" si="6"/>
        <v>3.5163430032765924E-3</v>
      </c>
      <c r="N244" s="332"/>
      <c r="O244" s="356"/>
      <c r="P244" s="5"/>
    </row>
    <row r="245" spans="1:17" ht="15.6" x14ac:dyDescent="0.3">
      <c r="A245" s="262"/>
      <c r="B245" s="264" t="s">
        <v>228</v>
      </c>
      <c r="C245" s="354"/>
      <c r="D245" s="354"/>
      <c r="E245" s="354"/>
      <c r="F245" s="354"/>
      <c r="G245" s="354"/>
      <c r="H245" s="354"/>
      <c r="I245" s="354"/>
      <c r="J245" s="264">
        <v>2</v>
      </c>
      <c r="K245" s="355">
        <f t="shared" si="5"/>
        <v>3.1397174254317113E-3</v>
      </c>
      <c r="L245" s="265">
        <v>47</v>
      </c>
      <c r="M245" s="355">
        <f t="shared" si="6"/>
        <v>1.8780468312954528E-3</v>
      </c>
      <c r="N245" s="332"/>
      <c r="O245" s="356"/>
      <c r="P245" s="5"/>
      <c r="Q245" s="104"/>
    </row>
    <row r="246" spans="1:17" ht="15.6" x14ac:dyDescent="0.3">
      <c r="A246" s="262"/>
      <c r="B246" s="264" t="s">
        <v>229</v>
      </c>
      <c r="C246" s="354"/>
      <c r="D246" s="354"/>
      <c r="E246" s="354"/>
      <c r="F246" s="354"/>
      <c r="G246" s="354"/>
      <c r="H246" s="354"/>
      <c r="I246" s="354"/>
      <c r="J246" s="264">
        <v>2</v>
      </c>
      <c r="K246" s="355">
        <f t="shared" si="5"/>
        <v>3.1397174254317113E-3</v>
      </c>
      <c r="L246" s="265">
        <v>41</v>
      </c>
      <c r="M246" s="355">
        <f t="shared" si="6"/>
        <v>1.6382961719811396E-3</v>
      </c>
      <c r="N246" s="332"/>
      <c r="O246" s="356"/>
      <c r="P246" s="5"/>
      <c r="Q246" s="104"/>
    </row>
    <row r="247" spans="1:17" ht="15.6" x14ac:dyDescent="0.3">
      <c r="A247" s="262"/>
      <c r="B247" s="264" t="s">
        <v>230</v>
      </c>
      <c r="C247" s="354"/>
      <c r="D247" s="354"/>
      <c r="E247" s="354"/>
      <c r="F247" s="354"/>
      <c r="G247" s="354"/>
      <c r="H247" s="354"/>
      <c r="I247" s="354"/>
      <c r="J247" s="264">
        <v>0</v>
      </c>
      <c r="K247" s="355">
        <f t="shared" si="5"/>
        <v>0</v>
      </c>
      <c r="L247" s="265">
        <v>0</v>
      </c>
      <c r="M247" s="355">
        <f t="shared" si="6"/>
        <v>0</v>
      </c>
      <c r="N247" s="332"/>
      <c r="O247" s="356"/>
      <c r="P247" s="5"/>
      <c r="Q247" s="104"/>
    </row>
    <row r="248" spans="1:17" ht="15.6" x14ac:dyDescent="0.3">
      <c r="A248" s="262"/>
      <c r="B248" s="264" t="s">
        <v>231</v>
      </c>
      <c r="C248" s="354"/>
      <c r="D248" s="354"/>
      <c r="E248" s="354"/>
      <c r="F248" s="354"/>
      <c r="G248" s="354"/>
      <c r="H248" s="354"/>
      <c r="I248" s="354"/>
      <c r="J248" s="264">
        <v>2</v>
      </c>
      <c r="K248" s="355">
        <f t="shared" si="5"/>
        <v>3.1397174254317113E-3</v>
      </c>
      <c r="L248" s="265">
        <v>167</v>
      </c>
      <c r="M248" s="355">
        <f t="shared" si="6"/>
        <v>6.6730600175817154E-3</v>
      </c>
      <c r="N248" s="332"/>
      <c r="O248" s="356"/>
      <c r="P248" s="5"/>
      <c r="Q248" s="104"/>
    </row>
    <row r="249" spans="1:17" ht="15.6" x14ac:dyDescent="0.3">
      <c r="A249" s="262"/>
      <c r="B249" s="264" t="s">
        <v>232</v>
      </c>
      <c r="C249" s="354"/>
      <c r="D249" s="354"/>
      <c r="E249" s="354"/>
      <c r="F249" s="354"/>
      <c r="G249" s="354"/>
      <c r="H249" s="354"/>
      <c r="I249" s="354"/>
      <c r="J249" s="264">
        <v>2</v>
      </c>
      <c r="K249" s="355">
        <f t="shared" si="5"/>
        <v>3.1397174254317113E-3</v>
      </c>
      <c r="L249" s="265">
        <v>63</v>
      </c>
      <c r="M249" s="355">
        <f t="shared" si="6"/>
        <v>2.5173819228002875E-3</v>
      </c>
      <c r="N249" s="332"/>
      <c r="O249" s="356"/>
      <c r="P249" s="5"/>
      <c r="Q249" s="104"/>
    </row>
    <row r="250" spans="1:17" ht="15.6" x14ac:dyDescent="0.3">
      <c r="A250" s="262"/>
      <c r="B250" s="264" t="s">
        <v>233</v>
      </c>
      <c r="C250" s="354"/>
      <c r="D250" s="354"/>
      <c r="E250" s="354"/>
      <c r="F250" s="354"/>
      <c r="G250" s="354"/>
      <c r="H250" s="354"/>
      <c r="I250" s="354"/>
      <c r="J250" s="264">
        <v>4</v>
      </c>
      <c r="K250" s="355">
        <f t="shared" si="5"/>
        <v>6.2794348508634227E-3</v>
      </c>
      <c r="L250" s="265">
        <v>146</v>
      </c>
      <c r="M250" s="355">
        <f t="shared" si="6"/>
        <v>5.8339327099816195E-3</v>
      </c>
      <c r="N250" s="332"/>
      <c r="O250" s="356"/>
      <c r="P250" s="5"/>
      <c r="Q250" s="104"/>
    </row>
    <row r="251" spans="1:17" ht="18" customHeight="1"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637</v>
      </c>
      <c r="K252" s="355">
        <f>SUM(K238:K251)</f>
        <v>1.0000000000000002</v>
      </c>
      <c r="L252" s="265">
        <f>SUM(L238:L251)</f>
        <v>25026</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1</v>
      </c>
      <c r="L284" s="265">
        <v>991</v>
      </c>
      <c r="M284" s="355">
        <f t="shared" si="8"/>
        <v>1</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1</v>
      </c>
      <c r="K286" s="355">
        <f>SUM(K272:K284)</f>
        <v>1</v>
      </c>
      <c r="L286" s="265">
        <f>SUM(L272:L284)</f>
        <v>991</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638</v>
      </c>
      <c r="K288" s="355"/>
      <c r="L288" s="359">
        <f>+L286+L269+L252</f>
        <v>26017</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FEBRUARY 2016</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53" orientation="landscape" r:id="rId1"/>
  <headerFooter alignWithMargins="0"/>
  <rowBreaks count="3" manualBreakCount="3">
    <brk id="52" max="14" man="1"/>
    <brk id="115" max="14" man="1"/>
    <brk id="182" max="14" man="1"/>
  </rowBreaks>
  <colBreaks count="1" manualBreakCount="1">
    <brk id="15" max="298"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V299"/>
  <sheetViews>
    <sheetView showGridLines="0" showOutlineSymbols="0" topLeftCell="D34" zoomScale="80" zoomScaleNormal="8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0.1346</v>
      </c>
      <c r="L16" s="232" t="s">
        <v>133</v>
      </c>
      <c r="M16" s="231">
        <v>0.86539999999999995</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42542</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22819.643699999997</v>
      </c>
      <c r="E29" s="279"/>
      <c r="F29" s="279">
        <f>F28*F32</f>
        <v>1598.20047</v>
      </c>
      <c r="G29" s="279"/>
      <c r="H29" s="279">
        <f>H28*H32</f>
        <v>1598.20047</v>
      </c>
      <c r="I29" s="279"/>
      <c r="J29" s="284"/>
      <c r="K29" s="279"/>
      <c r="L29" s="279"/>
      <c r="M29" s="280"/>
      <c r="N29" s="279">
        <f>SUM(D29:H29)+1</f>
        <v>26017.044639999996</v>
      </c>
      <c r="O29" s="281"/>
      <c r="P29" s="5"/>
    </row>
    <row r="30" spans="1:16" ht="15.6" x14ac:dyDescent="0.3">
      <c r="A30" s="274"/>
      <c r="B30" s="275" t="s">
        <v>130</v>
      </c>
      <c r="C30" s="278"/>
      <c r="D30" s="285">
        <f>D28*D31</f>
        <v>20986.348900000001</v>
      </c>
      <c r="E30" s="285"/>
      <c r="F30" s="285">
        <f>F28*F31</f>
        <v>1598.20047</v>
      </c>
      <c r="G30" s="285"/>
      <c r="H30" s="285">
        <f>H28*H31</f>
        <v>1598.20047</v>
      </c>
      <c r="I30" s="285"/>
      <c r="J30" s="288"/>
      <c r="K30" s="279"/>
      <c r="L30" s="279"/>
      <c r="M30" s="280"/>
      <c r="N30" s="285">
        <f>SUM(D30:I30)+1</f>
        <v>24183.74984</v>
      </c>
      <c r="O30" s="281"/>
      <c r="P30" s="5"/>
    </row>
    <row r="31" spans="1:16" ht="15.6" x14ac:dyDescent="0.3">
      <c r="A31" s="262"/>
      <c r="B31" s="290" t="s">
        <v>126</v>
      </c>
      <c r="C31" s="291"/>
      <c r="D31" s="292">
        <v>8.0561800000000003E-2</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8.7599399999999994E-2</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8.3125000000000004E-3</v>
      </c>
      <c r="E34" s="297"/>
      <c r="F34" s="298">
        <v>9.5125000000000001E-3</v>
      </c>
      <c r="G34" s="297"/>
      <c r="H34" s="298">
        <v>1.15125E-2</v>
      </c>
      <c r="I34" s="297"/>
      <c r="J34" s="298"/>
      <c r="K34" s="297"/>
      <c r="L34" s="298"/>
      <c r="M34" s="268"/>
      <c r="N34" s="297">
        <f>SUMPRODUCT(D34:H34,D29:H29)/N29</f>
        <v>8.5824680023303384E-3</v>
      </c>
      <c r="O34" s="266"/>
      <c r="P34" s="5"/>
    </row>
    <row r="35" spans="1:17" ht="15.6" x14ac:dyDescent="0.3">
      <c r="A35" s="274"/>
      <c r="B35" s="263" t="s">
        <v>11</v>
      </c>
      <c r="C35" s="263"/>
      <c r="D35" s="298">
        <v>8.2337999999999995E-3</v>
      </c>
      <c r="E35" s="297"/>
      <c r="F35" s="298">
        <v>9.4338000000000009E-3</v>
      </c>
      <c r="G35" s="297"/>
      <c r="H35" s="298">
        <v>1.1433799999999999E-2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0.15230857712462789</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42536</v>
      </c>
      <c r="O45" s="266"/>
      <c r="P45" s="5"/>
    </row>
    <row r="46" spans="1:17" ht="15.6" x14ac:dyDescent="0.3">
      <c r="A46" s="274"/>
      <c r="B46" s="263" t="s">
        <v>119</v>
      </c>
      <c r="C46" s="263"/>
      <c r="D46" s="305"/>
      <c r="E46" s="305"/>
      <c r="F46" s="305"/>
      <c r="G46" s="305"/>
      <c r="H46" s="305"/>
      <c r="I46" s="305"/>
      <c r="J46" s="263">
        <f>+N46-L46+1</f>
        <v>91</v>
      </c>
      <c r="K46" s="305"/>
      <c r="L46" s="306">
        <v>42353</v>
      </c>
      <c r="M46" s="307"/>
      <c r="N46" s="306">
        <v>42443</v>
      </c>
      <c r="O46" s="266"/>
      <c r="P46" s="5"/>
    </row>
    <row r="47" spans="1:17" ht="15.6" x14ac:dyDescent="0.3">
      <c r="A47" s="274"/>
      <c r="B47" s="263" t="s">
        <v>120</v>
      </c>
      <c r="C47" s="263"/>
      <c r="D47" s="263"/>
      <c r="E47" s="263"/>
      <c r="F47" s="263"/>
      <c r="G47" s="263"/>
      <c r="H47" s="263"/>
      <c r="I47" s="263"/>
      <c r="J47" s="263">
        <f>+N47-L47+1</f>
        <v>92</v>
      </c>
      <c r="K47" s="263"/>
      <c r="L47" s="306">
        <v>42444</v>
      </c>
      <c r="M47" s="307"/>
      <c r="N47" s="306">
        <v>42535</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42522</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287</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26017</v>
      </c>
      <c r="G56" s="264"/>
      <c r="H56" s="264">
        <v>1833</v>
      </c>
      <c r="I56" s="264"/>
      <c r="J56" s="264">
        <v>0</v>
      </c>
      <c r="K56" s="264"/>
      <c r="L56" s="264">
        <v>0</v>
      </c>
      <c r="M56" s="264"/>
      <c r="N56" s="265">
        <f>+F56-H56+J56-L56</f>
        <v>24184</v>
      </c>
      <c r="O56" s="266"/>
      <c r="P56" s="5"/>
    </row>
    <row r="57" spans="1:16" ht="15.6" x14ac:dyDescent="0.3">
      <c r="A57" s="262"/>
      <c r="B57" s="263" t="s">
        <v>209</v>
      </c>
      <c r="C57" s="264"/>
      <c r="D57" s="264">
        <v>756</v>
      </c>
      <c r="E57" s="264"/>
      <c r="F57" s="265">
        <v>217</v>
      </c>
      <c r="G57" s="264"/>
      <c r="H57" s="264">
        <v>6</v>
      </c>
      <c r="I57" s="264"/>
      <c r="J57" s="264">
        <v>0</v>
      </c>
      <c r="K57" s="264"/>
      <c r="L57" s="264">
        <v>0</v>
      </c>
      <c r="M57" s="264"/>
      <c r="N57" s="265">
        <f>+F57-H57</f>
        <v>211</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26234</v>
      </c>
      <c r="G59" s="264"/>
      <c r="H59" s="264">
        <f>SUM(H56:H58)</f>
        <v>1839</v>
      </c>
      <c r="I59" s="264"/>
      <c r="J59" s="264">
        <f>SUM(J56:J58)</f>
        <v>0</v>
      </c>
      <c r="K59" s="264"/>
      <c r="L59" s="264">
        <f>SUM(L56:L58)</f>
        <v>0</v>
      </c>
      <c r="M59" s="264"/>
      <c r="N59" s="264">
        <f>SUM(N56:N58)</f>
        <v>24395</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-217</v>
      </c>
      <c r="G68" s="264"/>
      <c r="H68" s="264"/>
      <c r="I68" s="264"/>
      <c r="J68" s="264"/>
      <c r="K68" s="264"/>
      <c r="L68" s="264"/>
      <c r="M68" s="264"/>
      <c r="N68" s="265">
        <f>-N57</f>
        <v>-211</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26017</v>
      </c>
      <c r="G72" s="264"/>
      <c r="H72" s="264"/>
      <c r="I72" s="264"/>
      <c r="J72" s="264"/>
      <c r="K72" s="264"/>
      <c r="L72" s="264"/>
      <c r="M72" s="264"/>
      <c r="N72" s="264">
        <f>SUM(N59:N71)</f>
        <v>24184</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42521</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v>1833</v>
      </c>
      <c r="M77" s="263"/>
      <c r="N77" s="265"/>
      <c r="O77" s="266"/>
      <c r="P77" s="5"/>
    </row>
    <row r="78" spans="1:16" ht="15.6" x14ac:dyDescent="0.3">
      <c r="A78" s="262"/>
      <c r="B78" s="263" t="s">
        <v>176</v>
      </c>
      <c r="C78" s="263"/>
      <c r="D78" s="300"/>
      <c r="E78" s="263"/>
      <c r="F78" s="309"/>
      <c r="G78" s="263"/>
      <c r="H78" s="263"/>
      <c r="I78" s="263"/>
      <c r="J78" s="263"/>
      <c r="K78" s="263"/>
      <c r="L78" s="264"/>
      <c r="M78" s="263"/>
      <c r="N78" s="265">
        <f>593+113+450-460-79-434</f>
        <v>183</v>
      </c>
      <c r="O78" s="266"/>
      <c r="P78" s="5"/>
    </row>
    <row r="79" spans="1:16" ht="15.6" x14ac:dyDescent="0.3">
      <c r="A79" s="262"/>
      <c r="B79" s="263" t="s">
        <v>174</v>
      </c>
      <c r="C79" s="263"/>
      <c r="D79" s="300"/>
      <c r="E79" s="263"/>
      <c r="F79" s="309"/>
      <c r="G79" s="263"/>
      <c r="H79" s="263"/>
      <c r="I79" s="263"/>
      <c r="J79" s="263"/>
      <c r="K79" s="263"/>
      <c r="L79" s="264"/>
      <c r="M79" s="263"/>
      <c r="N79" s="265">
        <f>59+2+73</f>
        <v>134</v>
      </c>
      <c r="O79" s="266"/>
      <c r="P79" s="5"/>
    </row>
    <row r="80" spans="1:16" ht="15.6" x14ac:dyDescent="0.3">
      <c r="A80" s="262"/>
      <c r="B80" s="263" t="s">
        <v>175</v>
      </c>
      <c r="C80" s="263"/>
      <c r="D80" s="300"/>
      <c r="E80" s="263"/>
      <c r="F80" s="309"/>
      <c r="G80" s="263"/>
      <c r="H80" s="263"/>
      <c r="I80" s="263"/>
      <c r="J80" s="263"/>
      <c r="K80" s="263"/>
      <c r="L80" s="264"/>
      <c r="M80" s="263"/>
      <c r="N80" s="265">
        <v>3</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1833</v>
      </c>
      <c r="M83" s="263"/>
      <c r="N83" s="264">
        <f>SUM(N76:N82)</f>
        <v>320</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1833</v>
      </c>
      <c r="M87" s="263"/>
      <c r="N87" s="264">
        <f>N83+N85+N84+N86</f>
        <v>320</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-10-1-60</f>
        <v>-71</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-48</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-5</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0</v>
      </c>
      <c r="M98" s="263"/>
      <c r="N98" s="265">
        <v>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-11</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-172</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-1833</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-1833</v>
      </c>
      <c r="M111" s="264"/>
      <c r="N111" s="264">
        <f>SUM(N88:N109)</f>
        <v>-320</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MAY 2016</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0</v>
      </c>
      <c r="O144" s="266"/>
      <c r="P144" s="5"/>
    </row>
    <row r="145" spans="1:256" ht="15.6" x14ac:dyDescent="0.3">
      <c r="A145" s="262"/>
      <c r="B145" s="263" t="s">
        <v>51</v>
      </c>
      <c r="C145" s="263"/>
      <c r="D145" s="263"/>
      <c r="E145" s="263"/>
      <c r="F145" s="263"/>
      <c r="G145" s="263"/>
      <c r="H145" s="263"/>
      <c r="I145" s="263"/>
      <c r="J145" s="263"/>
      <c r="K145" s="263"/>
      <c r="L145" s="263"/>
      <c r="M145" s="263"/>
      <c r="N145" s="265">
        <f>+N143+N144</f>
        <v>0</v>
      </c>
      <c r="O145" s="266"/>
      <c r="P145" s="5"/>
    </row>
    <row r="146" spans="1:256" ht="15.6" x14ac:dyDescent="0.3">
      <c r="A146" s="262"/>
      <c r="B146" s="263" t="s">
        <v>264</v>
      </c>
      <c r="C146" s="263"/>
      <c r="D146" s="263"/>
      <c r="E146" s="263"/>
      <c r="F146" s="263"/>
      <c r="G146" s="263"/>
      <c r="H146" s="263"/>
      <c r="I146" s="263"/>
      <c r="J146" s="263"/>
      <c r="K146" s="263"/>
      <c r="L146" s="263"/>
      <c r="M146" s="263"/>
      <c r="N146" s="265">
        <f>N98</f>
        <v>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24184</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24184</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+'Feb 16'!N161</f>
        <v>217</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6</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211</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+'Feb 16'!L168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5.145833333333333</v>
      </c>
      <c r="O173" s="266" t="s">
        <v>115</v>
      </c>
      <c r="P173" s="5"/>
    </row>
    <row r="174" spans="1:256" ht="15.6" x14ac:dyDescent="0.3">
      <c r="A174" s="262"/>
      <c r="B174" s="263" t="s">
        <v>63</v>
      </c>
      <c r="C174" s="263"/>
      <c r="D174" s="263"/>
      <c r="E174" s="263"/>
      <c r="F174" s="263"/>
      <c r="G174" s="263"/>
      <c r="H174" s="263"/>
      <c r="I174" s="263"/>
      <c r="J174" s="263"/>
      <c r="K174" s="263"/>
      <c r="L174" s="263"/>
      <c r="M174" s="263"/>
      <c r="N174" s="315">
        <v>2.17</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49.75</v>
      </c>
      <c r="O175" s="266" t="s">
        <v>115</v>
      </c>
      <c r="P175" s="5"/>
    </row>
    <row r="176" spans="1:256" ht="15.6" x14ac:dyDescent="0.3">
      <c r="A176" s="262"/>
      <c r="B176" s="263" t="s">
        <v>65</v>
      </c>
      <c r="C176" s="263"/>
      <c r="D176" s="263"/>
      <c r="E176" s="263"/>
      <c r="F176" s="263"/>
      <c r="G176" s="263"/>
      <c r="H176" s="263"/>
      <c r="I176" s="263"/>
      <c r="J176" s="263"/>
      <c r="K176" s="263"/>
      <c r="L176" s="263"/>
      <c r="M176" s="263"/>
      <c r="N176" s="315">
        <v>49.62</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39</v>
      </c>
      <c r="O177" s="266" t="s">
        <v>115</v>
      </c>
      <c r="P177" s="5"/>
    </row>
    <row r="178" spans="1:16" ht="15.6" x14ac:dyDescent="0.3">
      <c r="A178" s="262"/>
      <c r="B178" s="263" t="s">
        <v>167</v>
      </c>
      <c r="C178" s="263"/>
      <c r="D178" s="263"/>
      <c r="E178" s="263"/>
      <c r="F178" s="263"/>
      <c r="G178" s="263"/>
      <c r="H178" s="263"/>
      <c r="I178" s="263"/>
      <c r="J178" s="263"/>
      <c r="K178" s="263"/>
      <c r="L178" s="263"/>
      <c r="M178" s="263"/>
      <c r="N178" s="315">
        <v>46.75</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MAY 2016</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42521</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4.5909999999999999E-2</v>
      </c>
      <c r="M188" s="263"/>
      <c r="N188" s="263"/>
      <c r="O188" s="266"/>
      <c r="P188" s="5"/>
    </row>
    <row r="189" spans="1:16" ht="15.6" x14ac:dyDescent="0.3">
      <c r="A189" s="321"/>
      <c r="B189" s="263" t="s">
        <v>212</v>
      </c>
      <c r="C189" s="322"/>
      <c r="D189" s="303"/>
      <c r="E189" s="303"/>
      <c r="F189" s="303"/>
      <c r="G189" s="303"/>
      <c r="H189" s="303"/>
      <c r="I189" s="303"/>
      <c r="J189" s="303"/>
      <c r="K189" s="303"/>
      <c r="L189" s="297">
        <f>N34</f>
        <v>8.5824680023303384E-3</v>
      </c>
      <c r="M189" s="263"/>
      <c r="N189" s="263"/>
      <c r="O189" s="266"/>
      <c r="P189" s="5"/>
    </row>
    <row r="190" spans="1:16" ht="15.6" x14ac:dyDescent="0.3">
      <c r="A190" s="321"/>
      <c r="B190" s="263" t="s">
        <v>70</v>
      </c>
      <c r="C190" s="322"/>
      <c r="D190" s="303"/>
      <c r="E190" s="303"/>
      <c r="F190" s="303"/>
      <c r="G190" s="303"/>
      <c r="H190" s="303"/>
      <c r="I190" s="303"/>
      <c r="J190" s="303"/>
      <c r="K190" s="303"/>
      <c r="L190" s="297">
        <f>L188-L189</f>
        <v>3.7327531997669659E-2</v>
      </c>
      <c r="M190" s="263"/>
      <c r="N190" s="263"/>
      <c r="O190" s="266"/>
      <c r="P190" s="5"/>
    </row>
    <row r="191" spans="1:16" ht="15.6" x14ac:dyDescent="0.3">
      <c r="A191" s="321"/>
      <c r="B191" s="263" t="s">
        <v>203</v>
      </c>
      <c r="C191" s="322"/>
      <c r="D191" s="303"/>
      <c r="E191" s="303"/>
      <c r="F191" s="303"/>
      <c r="G191" s="303"/>
      <c r="H191" s="303"/>
      <c r="I191" s="303"/>
      <c r="J191" s="303"/>
      <c r="K191" s="303"/>
      <c r="L191" s="297">
        <f>+N87/F59</f>
        <v>1.2197911107722802E-2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4.45</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7.0453933966252838E-2</v>
      </c>
      <c r="M197" s="263"/>
      <c r="N197" s="263"/>
      <c r="O197" s="266"/>
      <c r="P197" s="5"/>
    </row>
    <row r="198" spans="1:16" ht="15.6" x14ac:dyDescent="0.3">
      <c r="A198" s="321"/>
      <c r="B198" s="263" t="s">
        <v>74</v>
      </c>
      <c r="C198" s="322"/>
      <c r="D198" s="303"/>
      <c r="E198" s="303"/>
      <c r="F198" s="303"/>
      <c r="G198" s="303"/>
      <c r="H198" s="303"/>
      <c r="I198" s="303"/>
      <c r="J198" s="303"/>
      <c r="K198" s="303"/>
      <c r="L198" s="297">
        <v>0.26860000000000001</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9</v>
      </c>
      <c r="L201" s="331">
        <v>594</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1</v>
      </c>
      <c r="L203" s="331">
        <f>+L286</f>
        <v>991</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0</v>
      </c>
      <c r="M207" s="291"/>
      <c r="N207" s="337"/>
      <c r="O207" s="342"/>
      <c r="P207" s="5"/>
    </row>
    <row r="208" spans="1:16" ht="15.6" x14ac:dyDescent="0.3">
      <c r="A208" s="330"/>
      <c r="B208" s="263" t="s">
        <v>82</v>
      </c>
      <c r="C208" s="264"/>
      <c r="D208" s="263"/>
      <c r="E208" s="263"/>
      <c r="F208" s="263"/>
      <c r="G208" s="263"/>
      <c r="H208" s="263"/>
      <c r="I208" s="263"/>
      <c r="J208" s="263"/>
      <c r="K208" s="276"/>
      <c r="L208" s="331">
        <f>'Feb 16'!L208+L207</f>
        <v>45</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549</v>
      </c>
      <c r="K221" s="355">
        <f t="shared" ref="K221:K233" si="2">J221/$J$235</f>
        <v>0.94655172413793098</v>
      </c>
      <c r="L221" s="265">
        <f t="shared" ref="L221:L233" si="3">+L238+L255+L272</f>
        <v>21943</v>
      </c>
      <c r="M221" s="355">
        <f t="shared" ref="M221:M233" si="4">L221/$L$235</f>
        <v>0.90733542838240155</v>
      </c>
      <c r="N221" s="332"/>
      <c r="O221" s="356"/>
      <c r="P221" s="5"/>
    </row>
    <row r="222" spans="1:17" ht="15.6" x14ac:dyDescent="0.3">
      <c r="A222" s="262"/>
      <c r="B222" s="264" t="s">
        <v>86</v>
      </c>
      <c r="C222" s="354"/>
      <c r="D222" s="354"/>
      <c r="E222" s="354"/>
      <c r="F222" s="354"/>
      <c r="G222" s="354"/>
      <c r="H222" s="354"/>
      <c r="I222" s="354"/>
      <c r="J222" s="264">
        <f t="shared" si="1"/>
        <v>8</v>
      </c>
      <c r="K222" s="355">
        <f t="shared" si="2"/>
        <v>1.3793103448275862E-2</v>
      </c>
      <c r="L222" s="265">
        <f t="shared" si="3"/>
        <v>328</v>
      </c>
      <c r="M222" s="355">
        <f t="shared" si="4"/>
        <v>1.3562686073436983E-2</v>
      </c>
      <c r="N222" s="332"/>
      <c r="O222" s="356"/>
      <c r="P222" s="5"/>
      <c r="Q222" s="104"/>
    </row>
    <row r="223" spans="1:17" ht="15.6" x14ac:dyDescent="0.3">
      <c r="A223" s="262"/>
      <c r="B223" s="264" t="s">
        <v>87</v>
      </c>
      <c r="C223" s="354"/>
      <c r="D223" s="354"/>
      <c r="E223" s="354"/>
      <c r="F223" s="354"/>
      <c r="G223" s="354"/>
      <c r="H223" s="354"/>
      <c r="I223" s="354"/>
      <c r="J223" s="264">
        <f t="shared" si="1"/>
        <v>5</v>
      </c>
      <c r="K223" s="355">
        <f t="shared" si="2"/>
        <v>8.6206896551724137E-3</v>
      </c>
      <c r="L223" s="265">
        <f t="shared" si="3"/>
        <v>290</v>
      </c>
      <c r="M223" s="355">
        <f t="shared" si="4"/>
        <v>1.1991399272246113E-2</v>
      </c>
      <c r="N223" s="332"/>
      <c r="O223" s="356"/>
      <c r="P223" s="5"/>
    </row>
    <row r="224" spans="1:17" ht="15.6" x14ac:dyDescent="0.3">
      <c r="A224" s="262"/>
      <c r="B224" s="264" t="s">
        <v>145</v>
      </c>
      <c r="C224" s="354"/>
      <c r="D224" s="354"/>
      <c r="E224" s="354"/>
      <c r="F224" s="354"/>
      <c r="G224" s="354"/>
      <c r="H224" s="354"/>
      <c r="I224" s="354"/>
      <c r="J224" s="264">
        <f t="shared" si="1"/>
        <v>2</v>
      </c>
      <c r="K224" s="355">
        <f t="shared" si="2"/>
        <v>3.4482758620689655E-3</v>
      </c>
      <c r="L224" s="265">
        <f t="shared" si="3"/>
        <v>24</v>
      </c>
      <c r="M224" s="355">
        <f t="shared" si="4"/>
        <v>9.9239166391002311E-4</v>
      </c>
      <c r="N224" s="332"/>
      <c r="O224" s="356"/>
      <c r="P224" s="5"/>
      <c r="Q224" s="104"/>
    </row>
    <row r="225" spans="1:17" ht="15.6" x14ac:dyDescent="0.3">
      <c r="A225" s="262"/>
      <c r="B225" s="264" t="s">
        <v>146</v>
      </c>
      <c r="C225" s="354"/>
      <c r="D225" s="354"/>
      <c r="E225" s="354"/>
      <c r="F225" s="354"/>
      <c r="G225" s="354"/>
      <c r="H225" s="354"/>
      <c r="I225" s="354"/>
      <c r="J225" s="264">
        <f t="shared" si="1"/>
        <v>2</v>
      </c>
      <c r="K225" s="355">
        <f t="shared" si="2"/>
        <v>3.4482758620689655E-3</v>
      </c>
      <c r="L225" s="265">
        <f t="shared" si="3"/>
        <v>76</v>
      </c>
      <c r="M225" s="355">
        <f t="shared" si="4"/>
        <v>3.14257360238174E-3</v>
      </c>
      <c r="N225" s="332"/>
      <c r="O225" s="356"/>
      <c r="P225" s="5"/>
    </row>
    <row r="226" spans="1:17" ht="15.6" x14ac:dyDescent="0.3">
      <c r="A226" s="262"/>
      <c r="B226" s="264" t="s">
        <v>147</v>
      </c>
      <c r="C226" s="354"/>
      <c r="D226" s="354"/>
      <c r="E226" s="354"/>
      <c r="F226" s="354"/>
      <c r="G226" s="354"/>
      <c r="H226" s="354"/>
      <c r="I226" s="354"/>
      <c r="J226" s="264">
        <f t="shared" si="1"/>
        <v>2</v>
      </c>
      <c r="K226" s="355">
        <f t="shared" si="2"/>
        <v>3.4482758620689655E-3</v>
      </c>
      <c r="L226" s="265">
        <f t="shared" si="3"/>
        <v>87</v>
      </c>
      <c r="M226" s="355">
        <f t="shared" si="4"/>
        <v>3.5974197816738339E-3</v>
      </c>
      <c r="N226" s="332"/>
      <c r="O226" s="356"/>
      <c r="P226" s="5"/>
      <c r="Q226" s="104"/>
    </row>
    <row r="227" spans="1:17" ht="15.6" x14ac:dyDescent="0.3">
      <c r="A227" s="262"/>
      <c r="B227" s="264" t="s">
        <v>227</v>
      </c>
      <c r="C227" s="354"/>
      <c r="D227" s="354"/>
      <c r="E227" s="354"/>
      <c r="F227" s="354"/>
      <c r="G227" s="354"/>
      <c r="H227" s="354"/>
      <c r="I227" s="354"/>
      <c r="J227" s="264">
        <f t="shared" si="1"/>
        <v>1</v>
      </c>
      <c r="K227" s="355">
        <f t="shared" si="2"/>
        <v>1.7241379310344827E-3</v>
      </c>
      <c r="L227" s="265">
        <f t="shared" si="3"/>
        <v>25</v>
      </c>
      <c r="M227" s="355">
        <f t="shared" si="4"/>
        <v>1.0337413165729407E-3</v>
      </c>
      <c r="N227" s="332"/>
      <c r="O227" s="356"/>
      <c r="P227" s="5"/>
    </row>
    <row r="228" spans="1:17" ht="15.6" x14ac:dyDescent="0.3">
      <c r="A228" s="262"/>
      <c r="B228" s="264" t="s">
        <v>228</v>
      </c>
      <c r="C228" s="354"/>
      <c r="D228" s="354"/>
      <c r="E228" s="354"/>
      <c r="F228" s="354"/>
      <c r="G228" s="354"/>
      <c r="H228" s="354"/>
      <c r="I228" s="354"/>
      <c r="J228" s="264">
        <f t="shared" si="1"/>
        <v>1</v>
      </c>
      <c r="K228" s="355">
        <f t="shared" si="2"/>
        <v>1.7241379310344827E-3</v>
      </c>
      <c r="L228" s="265">
        <f t="shared" si="3"/>
        <v>12</v>
      </c>
      <c r="M228" s="355">
        <f t="shared" si="4"/>
        <v>4.9619583195501156E-4</v>
      </c>
      <c r="N228" s="332"/>
      <c r="O228" s="356"/>
      <c r="P228" s="5"/>
      <c r="Q228" s="104"/>
    </row>
    <row r="229" spans="1:17" ht="15.6" x14ac:dyDescent="0.3">
      <c r="A229" s="262"/>
      <c r="B229" s="264" t="s">
        <v>229</v>
      </c>
      <c r="C229" s="354"/>
      <c r="D229" s="354"/>
      <c r="E229" s="354"/>
      <c r="F229" s="354"/>
      <c r="G229" s="354"/>
      <c r="H229" s="354"/>
      <c r="I229" s="354"/>
      <c r="J229" s="264">
        <f t="shared" si="1"/>
        <v>2</v>
      </c>
      <c r="K229" s="355">
        <f t="shared" si="2"/>
        <v>3.4482758620689655E-3</v>
      </c>
      <c r="L229" s="265">
        <f t="shared" si="3"/>
        <v>39</v>
      </c>
      <c r="M229" s="355">
        <f t="shared" si="4"/>
        <v>1.6126364538537876E-3</v>
      </c>
      <c r="N229" s="332"/>
      <c r="O229" s="356"/>
      <c r="P229" s="5"/>
      <c r="Q229" s="104"/>
    </row>
    <row r="230" spans="1:17" ht="15.6" x14ac:dyDescent="0.3">
      <c r="A230" s="262"/>
      <c r="B230" s="264" t="s">
        <v>230</v>
      </c>
      <c r="C230" s="354"/>
      <c r="D230" s="354"/>
      <c r="E230" s="354"/>
      <c r="F230" s="354"/>
      <c r="G230" s="354"/>
      <c r="H230" s="354"/>
      <c r="I230" s="354"/>
      <c r="J230" s="264">
        <f t="shared" si="1"/>
        <v>0</v>
      </c>
      <c r="K230" s="355">
        <f t="shared" si="2"/>
        <v>0</v>
      </c>
      <c r="L230" s="265">
        <f t="shared" si="3"/>
        <v>0</v>
      </c>
      <c r="M230" s="355">
        <f t="shared" si="4"/>
        <v>0</v>
      </c>
      <c r="N230" s="332"/>
      <c r="O230" s="356"/>
      <c r="P230" s="5"/>
      <c r="Q230" s="104"/>
    </row>
    <row r="231" spans="1:17" ht="15.6" x14ac:dyDescent="0.3">
      <c r="A231" s="262"/>
      <c r="B231" s="264" t="s">
        <v>231</v>
      </c>
      <c r="C231" s="354"/>
      <c r="D231" s="354"/>
      <c r="E231" s="354"/>
      <c r="F231" s="354"/>
      <c r="G231" s="354"/>
      <c r="H231" s="354"/>
      <c r="I231" s="354"/>
      <c r="J231" s="264">
        <f t="shared" si="1"/>
        <v>1</v>
      </c>
      <c r="K231" s="355">
        <f t="shared" si="2"/>
        <v>1.7241379310344827E-3</v>
      </c>
      <c r="L231" s="265">
        <f t="shared" si="3"/>
        <v>25</v>
      </c>
      <c r="M231" s="355">
        <f t="shared" si="4"/>
        <v>1.0337413165729407E-3</v>
      </c>
      <c r="N231" s="332"/>
      <c r="O231" s="356"/>
      <c r="P231" s="5"/>
      <c r="Q231" s="104"/>
    </row>
    <row r="232" spans="1:17" ht="15.6" x14ac:dyDescent="0.3">
      <c r="A232" s="262"/>
      <c r="B232" s="264" t="s">
        <v>232</v>
      </c>
      <c r="C232" s="354"/>
      <c r="D232" s="354"/>
      <c r="E232" s="354"/>
      <c r="F232" s="354"/>
      <c r="G232" s="354"/>
      <c r="H232" s="354"/>
      <c r="I232" s="354"/>
      <c r="J232" s="264">
        <f t="shared" si="1"/>
        <v>2</v>
      </c>
      <c r="K232" s="355">
        <f t="shared" si="2"/>
        <v>3.4482758620689655E-3</v>
      </c>
      <c r="L232" s="265">
        <f t="shared" si="3"/>
        <v>194</v>
      </c>
      <c r="M232" s="355">
        <f t="shared" si="4"/>
        <v>8.021832616606021E-3</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8.6206896551724137E-3</v>
      </c>
      <c r="L233" s="265">
        <f t="shared" si="3"/>
        <v>1141</v>
      </c>
      <c r="M233" s="355">
        <f t="shared" si="4"/>
        <v>4.7179953688389016E-2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580</v>
      </c>
      <c r="K235" s="355">
        <f>SUM(K221:K234)</f>
        <v>0.99999999999999978</v>
      </c>
      <c r="L235" s="265">
        <f>SUM(L221:L234)</f>
        <v>24184</v>
      </c>
      <c r="M235" s="355">
        <f>SUM(M221:M234)</f>
        <v>1.0000000000000002</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549</v>
      </c>
      <c r="K238" s="355">
        <f t="shared" ref="K238:K250" si="5">J238/$J$252</f>
        <v>0.94818652849740936</v>
      </c>
      <c r="L238" s="265">
        <v>21943</v>
      </c>
      <c r="M238" s="355">
        <f t="shared" ref="M238:M250" si="6">L238/$L$252</f>
        <v>0.94610442806019057</v>
      </c>
      <c r="N238" s="332"/>
      <c r="O238" s="356"/>
      <c r="P238" s="5"/>
    </row>
    <row r="239" spans="1:17" ht="15.6" x14ac:dyDescent="0.3">
      <c r="A239" s="262"/>
      <c r="B239" s="264" t="s">
        <v>86</v>
      </c>
      <c r="C239" s="354"/>
      <c r="D239" s="354"/>
      <c r="E239" s="354"/>
      <c r="F239" s="354"/>
      <c r="G239" s="354"/>
      <c r="H239" s="354"/>
      <c r="I239" s="354"/>
      <c r="J239" s="264">
        <v>8</v>
      </c>
      <c r="K239" s="355">
        <f t="shared" si="5"/>
        <v>1.3816925734024179E-2</v>
      </c>
      <c r="L239" s="265">
        <v>328</v>
      </c>
      <c r="M239" s="355">
        <f t="shared" si="6"/>
        <v>1.4142198077005994E-2</v>
      </c>
      <c r="N239" s="332"/>
      <c r="O239" s="356"/>
      <c r="P239" s="5"/>
      <c r="Q239" s="104"/>
    </row>
    <row r="240" spans="1:17" ht="15.6" x14ac:dyDescent="0.3">
      <c r="A240" s="262"/>
      <c r="B240" s="264" t="s">
        <v>87</v>
      </c>
      <c r="C240" s="354"/>
      <c r="D240" s="354"/>
      <c r="E240" s="354"/>
      <c r="F240" s="354"/>
      <c r="G240" s="354"/>
      <c r="H240" s="354"/>
      <c r="I240" s="354"/>
      <c r="J240" s="264">
        <v>5</v>
      </c>
      <c r="K240" s="355">
        <f t="shared" si="5"/>
        <v>8.6355785837651123E-3</v>
      </c>
      <c r="L240" s="265">
        <v>290</v>
      </c>
      <c r="M240" s="355">
        <f t="shared" si="6"/>
        <v>1.2503772690035787E-2</v>
      </c>
      <c r="N240" s="332"/>
      <c r="O240" s="356"/>
      <c r="P240" s="5"/>
    </row>
    <row r="241" spans="1:17" ht="15.6" x14ac:dyDescent="0.3">
      <c r="A241" s="262"/>
      <c r="B241" s="264" t="s">
        <v>145</v>
      </c>
      <c r="C241" s="354"/>
      <c r="D241" s="354"/>
      <c r="E241" s="354"/>
      <c r="F241" s="354"/>
      <c r="G241" s="354"/>
      <c r="H241" s="354"/>
      <c r="I241" s="354"/>
      <c r="J241" s="264">
        <v>2</v>
      </c>
      <c r="K241" s="355">
        <f t="shared" si="5"/>
        <v>3.4542314335060447E-3</v>
      </c>
      <c r="L241" s="265">
        <v>24</v>
      </c>
      <c r="M241" s="355">
        <f t="shared" si="6"/>
        <v>1.0347949812443409E-3</v>
      </c>
      <c r="N241" s="332"/>
      <c r="O241" s="356"/>
      <c r="P241" s="5"/>
      <c r="Q241" s="104"/>
    </row>
    <row r="242" spans="1:17" ht="15.6" x14ac:dyDescent="0.3">
      <c r="A242" s="262"/>
      <c r="B242" s="264" t="s">
        <v>146</v>
      </c>
      <c r="C242" s="354"/>
      <c r="D242" s="354"/>
      <c r="E242" s="354"/>
      <c r="F242" s="354"/>
      <c r="G242" s="354"/>
      <c r="H242" s="354"/>
      <c r="I242" s="354"/>
      <c r="J242" s="264">
        <v>2</v>
      </c>
      <c r="K242" s="355">
        <f t="shared" si="5"/>
        <v>3.4542314335060447E-3</v>
      </c>
      <c r="L242" s="265">
        <v>76</v>
      </c>
      <c r="M242" s="355">
        <f t="shared" si="6"/>
        <v>3.276850773940413E-3</v>
      </c>
      <c r="N242" s="332"/>
      <c r="O242" s="356"/>
      <c r="P242" s="5"/>
    </row>
    <row r="243" spans="1:17" ht="15.6" x14ac:dyDescent="0.3">
      <c r="A243" s="262"/>
      <c r="B243" s="264" t="s">
        <v>147</v>
      </c>
      <c r="C243" s="354"/>
      <c r="D243" s="354"/>
      <c r="E243" s="354"/>
      <c r="F243" s="354"/>
      <c r="G243" s="354"/>
      <c r="H243" s="354"/>
      <c r="I243" s="354"/>
      <c r="J243" s="264">
        <v>2</v>
      </c>
      <c r="K243" s="355">
        <f t="shared" si="5"/>
        <v>3.4542314335060447E-3</v>
      </c>
      <c r="L243" s="265">
        <v>87</v>
      </c>
      <c r="M243" s="355">
        <f t="shared" si="6"/>
        <v>3.751131807010736E-3</v>
      </c>
      <c r="N243" s="332"/>
      <c r="O243" s="356"/>
      <c r="P243" s="5"/>
      <c r="Q243" s="104"/>
    </row>
    <row r="244" spans="1:17" ht="15.6" x14ac:dyDescent="0.3">
      <c r="A244" s="262"/>
      <c r="B244" s="264" t="s">
        <v>227</v>
      </c>
      <c r="C244" s="354"/>
      <c r="D244" s="354"/>
      <c r="E244" s="354"/>
      <c r="F244" s="354"/>
      <c r="G244" s="354"/>
      <c r="H244" s="354"/>
      <c r="I244" s="354"/>
      <c r="J244" s="264">
        <v>1</v>
      </c>
      <c r="K244" s="355">
        <f t="shared" si="5"/>
        <v>1.7271157167530224E-3</v>
      </c>
      <c r="L244" s="265">
        <v>25</v>
      </c>
      <c r="M244" s="355">
        <f t="shared" si="6"/>
        <v>1.0779114387961886E-3</v>
      </c>
      <c r="N244" s="332"/>
      <c r="O244" s="356"/>
      <c r="P244" s="5"/>
    </row>
    <row r="245" spans="1:17" ht="15.6" x14ac:dyDescent="0.3">
      <c r="A245" s="262"/>
      <c r="B245" s="264" t="s">
        <v>228</v>
      </c>
      <c r="C245" s="354"/>
      <c r="D245" s="354"/>
      <c r="E245" s="354"/>
      <c r="F245" s="354"/>
      <c r="G245" s="354"/>
      <c r="H245" s="354"/>
      <c r="I245" s="354"/>
      <c r="J245" s="264">
        <v>1</v>
      </c>
      <c r="K245" s="355">
        <f t="shared" si="5"/>
        <v>1.7271157167530224E-3</v>
      </c>
      <c r="L245" s="265">
        <v>12</v>
      </c>
      <c r="M245" s="355">
        <f t="shared" si="6"/>
        <v>5.1739749062217045E-4</v>
      </c>
      <c r="N245" s="332"/>
      <c r="O245" s="356"/>
      <c r="P245" s="5"/>
      <c r="Q245" s="104"/>
    </row>
    <row r="246" spans="1:17" ht="15.6" x14ac:dyDescent="0.3">
      <c r="A246" s="262"/>
      <c r="B246" s="264" t="s">
        <v>229</v>
      </c>
      <c r="C246" s="354"/>
      <c r="D246" s="354"/>
      <c r="E246" s="354"/>
      <c r="F246" s="354"/>
      <c r="G246" s="354"/>
      <c r="H246" s="354"/>
      <c r="I246" s="354"/>
      <c r="J246" s="264">
        <v>2</v>
      </c>
      <c r="K246" s="355">
        <f t="shared" si="5"/>
        <v>3.4542314335060447E-3</v>
      </c>
      <c r="L246" s="265">
        <v>39</v>
      </c>
      <c r="M246" s="355">
        <f t="shared" si="6"/>
        <v>1.681541844522054E-3</v>
      </c>
      <c r="N246" s="332"/>
      <c r="O246" s="356"/>
      <c r="P246" s="5"/>
      <c r="Q246" s="104"/>
    </row>
    <row r="247" spans="1:17" ht="15.6" x14ac:dyDescent="0.3">
      <c r="A247" s="262"/>
      <c r="B247" s="264" t="s">
        <v>230</v>
      </c>
      <c r="C247" s="354"/>
      <c r="D247" s="354"/>
      <c r="E247" s="354"/>
      <c r="F247" s="354"/>
      <c r="G247" s="354"/>
      <c r="H247" s="354"/>
      <c r="I247" s="354"/>
      <c r="J247" s="264">
        <v>0</v>
      </c>
      <c r="K247" s="355">
        <f t="shared" si="5"/>
        <v>0</v>
      </c>
      <c r="L247" s="265">
        <v>0</v>
      </c>
      <c r="M247" s="355">
        <f t="shared" si="6"/>
        <v>0</v>
      </c>
      <c r="N247" s="332"/>
      <c r="O247" s="356"/>
      <c r="P247" s="5"/>
      <c r="Q247" s="104"/>
    </row>
    <row r="248" spans="1:17" ht="15.6" x14ac:dyDescent="0.3">
      <c r="A248" s="262"/>
      <c r="B248" s="264" t="s">
        <v>231</v>
      </c>
      <c r="C248" s="354"/>
      <c r="D248" s="354"/>
      <c r="E248" s="354"/>
      <c r="F248" s="354"/>
      <c r="G248" s="354"/>
      <c r="H248" s="354"/>
      <c r="I248" s="354"/>
      <c r="J248" s="264">
        <v>1</v>
      </c>
      <c r="K248" s="355">
        <f t="shared" si="5"/>
        <v>1.7271157167530224E-3</v>
      </c>
      <c r="L248" s="265">
        <v>25</v>
      </c>
      <c r="M248" s="355">
        <f t="shared" si="6"/>
        <v>1.0779114387961886E-3</v>
      </c>
      <c r="N248" s="332"/>
      <c r="O248" s="356"/>
      <c r="P248" s="5"/>
      <c r="Q248" s="104"/>
    </row>
    <row r="249" spans="1:17" ht="15.6" x14ac:dyDescent="0.3">
      <c r="A249" s="262"/>
      <c r="B249" s="264" t="s">
        <v>232</v>
      </c>
      <c r="C249" s="354"/>
      <c r="D249" s="354"/>
      <c r="E249" s="354"/>
      <c r="F249" s="354"/>
      <c r="G249" s="354"/>
      <c r="H249" s="354"/>
      <c r="I249" s="354"/>
      <c r="J249" s="264">
        <v>2</v>
      </c>
      <c r="K249" s="355">
        <f t="shared" si="5"/>
        <v>3.4542314335060447E-3</v>
      </c>
      <c r="L249" s="265">
        <v>194</v>
      </c>
      <c r="M249" s="355">
        <f t="shared" si="6"/>
        <v>8.3645927650584234E-3</v>
      </c>
      <c r="N249" s="332"/>
      <c r="O249" s="356"/>
      <c r="P249" s="5"/>
      <c r="Q249" s="104"/>
    </row>
    <row r="250" spans="1:17" ht="15.6" x14ac:dyDescent="0.3">
      <c r="A250" s="262"/>
      <c r="B250" s="264" t="s">
        <v>233</v>
      </c>
      <c r="C250" s="354"/>
      <c r="D250" s="354"/>
      <c r="E250" s="354"/>
      <c r="F250" s="354"/>
      <c r="G250" s="354"/>
      <c r="H250" s="354"/>
      <c r="I250" s="354"/>
      <c r="J250" s="264">
        <v>4</v>
      </c>
      <c r="K250" s="355">
        <f t="shared" si="5"/>
        <v>6.9084628670120895E-3</v>
      </c>
      <c r="L250" s="265">
        <v>150</v>
      </c>
      <c r="M250" s="355">
        <f t="shared" si="6"/>
        <v>6.4674686327771307E-3</v>
      </c>
      <c r="N250" s="332"/>
      <c r="O250" s="356"/>
      <c r="P250" s="5"/>
      <c r="Q250" s="104"/>
    </row>
    <row r="251" spans="1:17" ht="18" customHeight="1"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579</v>
      </c>
      <c r="K252" s="355">
        <f>SUM(K238:K251)</f>
        <v>1.0000000000000002</v>
      </c>
      <c r="L252" s="265">
        <f>SUM(L238:L251)</f>
        <v>23193</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1</v>
      </c>
      <c r="L284" s="265">
        <v>991</v>
      </c>
      <c r="M284" s="355">
        <f t="shared" si="8"/>
        <v>1</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1</v>
      </c>
      <c r="K286" s="355">
        <f>SUM(K272:K284)</f>
        <v>1</v>
      </c>
      <c r="L286" s="265">
        <f>SUM(L272:L284)</f>
        <v>991</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580</v>
      </c>
      <c r="K288" s="355"/>
      <c r="L288" s="359">
        <f>+L286+L269+L252</f>
        <v>24184</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MAY 2016</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53" orientation="landscape" r:id="rId1"/>
  <headerFooter alignWithMargins="0"/>
  <rowBreaks count="3" manualBreakCount="3">
    <brk id="52" max="14" man="1"/>
    <brk id="115" max="14" man="1"/>
    <brk id="182" max="14" man="1"/>
  </rowBreaks>
  <colBreaks count="1" manualBreakCount="1">
    <brk id="15" max="298"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299"/>
  <sheetViews>
    <sheetView showGridLines="0" showOutlineSymbols="0" zoomScale="80" zoomScaleNormal="8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0.15049999999999999</v>
      </c>
      <c r="L16" s="232" t="s">
        <v>133</v>
      </c>
      <c r="M16" s="231">
        <v>0.84950000000000003</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42633</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20986.348900000001</v>
      </c>
      <c r="E29" s="279"/>
      <c r="F29" s="279">
        <f>F28*F32</f>
        <v>1598.20047</v>
      </c>
      <c r="G29" s="279"/>
      <c r="H29" s="279">
        <f>H28*H32</f>
        <v>1598.20047</v>
      </c>
      <c r="I29" s="279"/>
      <c r="J29" s="284"/>
      <c r="K29" s="279"/>
      <c r="L29" s="279"/>
      <c r="M29" s="280"/>
      <c r="N29" s="279">
        <f>SUM(D29:H29)+1</f>
        <v>24183.74984</v>
      </c>
      <c r="O29" s="281"/>
      <c r="P29" s="5"/>
    </row>
    <row r="30" spans="1:16" ht="15.6" x14ac:dyDescent="0.3">
      <c r="A30" s="274"/>
      <c r="B30" s="275" t="s">
        <v>130</v>
      </c>
      <c r="C30" s="278"/>
      <c r="D30" s="285">
        <f>D28*D31</f>
        <v>17993.1518</v>
      </c>
      <c r="E30" s="285"/>
      <c r="F30" s="285">
        <f>F28*F31</f>
        <v>1598.20047</v>
      </c>
      <c r="G30" s="285"/>
      <c r="H30" s="285">
        <f>H28*H31</f>
        <v>1598.20047</v>
      </c>
      <c r="I30" s="285"/>
      <c r="J30" s="288"/>
      <c r="K30" s="279"/>
      <c r="L30" s="279"/>
      <c r="M30" s="280"/>
      <c r="N30" s="285">
        <f>SUM(D30:I30)</f>
        <v>21189.552739999999</v>
      </c>
      <c r="O30" s="281"/>
      <c r="P30" s="5"/>
    </row>
    <row r="31" spans="1:16" ht="15.6" x14ac:dyDescent="0.3">
      <c r="A31" s="262"/>
      <c r="B31" s="290" t="s">
        <v>126</v>
      </c>
      <c r="C31" s="291"/>
      <c r="D31" s="292">
        <v>6.9071599999999997E-2</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8.0561800000000003E-2</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8.1188000000000007E-3</v>
      </c>
      <c r="E34" s="297"/>
      <c r="F34" s="298">
        <v>9.3188000000000003E-3</v>
      </c>
      <c r="G34" s="297"/>
      <c r="H34" s="298">
        <v>1.13188E-2</v>
      </c>
      <c r="I34" s="297"/>
      <c r="J34" s="298"/>
      <c r="K34" s="297"/>
      <c r="L34" s="298"/>
      <c r="M34" s="268"/>
      <c r="N34" s="297">
        <f>SUMPRODUCT(D34:H34,D29:H29)/N29</f>
        <v>8.409241445783663E-3</v>
      </c>
      <c r="O34" s="266"/>
      <c r="P34" s="5"/>
    </row>
    <row r="35" spans="1:17" ht="15.6" x14ac:dyDescent="0.3">
      <c r="A35" s="274"/>
      <c r="B35" s="263" t="s">
        <v>11</v>
      </c>
      <c r="C35" s="263"/>
      <c r="D35" s="298">
        <v>8.3125000000000004E-3</v>
      </c>
      <c r="E35" s="297"/>
      <c r="F35" s="298">
        <v>9.5125000000000001E-3</v>
      </c>
      <c r="G35" s="297"/>
      <c r="H35" s="298">
        <v>1.15125E-2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0.17764541618550675</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42628</v>
      </c>
      <c r="O45" s="266"/>
      <c r="P45" s="5"/>
    </row>
    <row r="46" spans="1:17" ht="15.6" x14ac:dyDescent="0.3">
      <c r="A46" s="274"/>
      <c r="B46" s="263" t="s">
        <v>119</v>
      </c>
      <c r="C46" s="263"/>
      <c r="D46" s="305"/>
      <c r="E46" s="305"/>
      <c r="F46" s="305"/>
      <c r="G46" s="305"/>
      <c r="H46" s="305"/>
      <c r="I46" s="305"/>
      <c r="J46" s="263">
        <f>+N46-L46+1</f>
        <v>92</v>
      </c>
      <c r="K46" s="305"/>
      <c r="L46" s="306">
        <v>42444</v>
      </c>
      <c r="M46" s="307"/>
      <c r="N46" s="306">
        <v>42535</v>
      </c>
      <c r="O46" s="266"/>
      <c r="P46" s="5"/>
    </row>
    <row r="47" spans="1:17" ht="15.6" x14ac:dyDescent="0.3">
      <c r="A47" s="274"/>
      <c r="B47" s="263" t="s">
        <v>120</v>
      </c>
      <c r="C47" s="263"/>
      <c r="D47" s="263"/>
      <c r="E47" s="263"/>
      <c r="F47" s="263"/>
      <c r="G47" s="263"/>
      <c r="H47" s="263"/>
      <c r="I47" s="263"/>
      <c r="J47" s="263">
        <f>+N47-L47+1</f>
        <v>92</v>
      </c>
      <c r="K47" s="263"/>
      <c r="L47" s="306">
        <v>42536</v>
      </c>
      <c r="M47" s="307"/>
      <c r="N47" s="306">
        <v>42627</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42614</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288</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24184</v>
      </c>
      <c r="G56" s="264"/>
      <c r="H56" s="264">
        <v>2994</v>
      </c>
      <c r="I56" s="264"/>
      <c r="J56" s="264">
        <v>0</v>
      </c>
      <c r="K56" s="264"/>
      <c r="L56" s="264">
        <v>0</v>
      </c>
      <c r="M56" s="264"/>
      <c r="N56" s="265">
        <f>+F56-H56+J56-L56</f>
        <v>21190</v>
      </c>
      <c r="O56" s="266"/>
      <c r="P56" s="5"/>
    </row>
    <row r="57" spans="1:16" ht="15.6" x14ac:dyDescent="0.3">
      <c r="A57" s="262"/>
      <c r="B57" s="263" t="s">
        <v>209</v>
      </c>
      <c r="C57" s="264"/>
      <c r="D57" s="264">
        <v>756</v>
      </c>
      <c r="E57" s="264"/>
      <c r="F57" s="265">
        <v>211</v>
      </c>
      <c r="G57" s="264"/>
      <c r="H57" s="264">
        <v>83</v>
      </c>
      <c r="I57" s="264"/>
      <c r="J57" s="264">
        <v>0</v>
      </c>
      <c r="K57" s="264"/>
      <c r="L57" s="264">
        <v>0</v>
      </c>
      <c r="M57" s="264"/>
      <c r="N57" s="265">
        <f>+F57-H57</f>
        <v>128</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24395</v>
      </c>
      <c r="G59" s="264"/>
      <c r="H59" s="264">
        <f>SUM(H56:H58)</f>
        <v>3077</v>
      </c>
      <c r="I59" s="264"/>
      <c r="J59" s="264">
        <f>SUM(J56:J58)</f>
        <v>0</v>
      </c>
      <c r="K59" s="264"/>
      <c r="L59" s="264">
        <f>SUM(L56:L58)</f>
        <v>0</v>
      </c>
      <c r="M59" s="264"/>
      <c r="N59" s="264">
        <f>SUM(N56:N58)</f>
        <v>21318</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-211</v>
      </c>
      <c r="G68" s="264"/>
      <c r="H68" s="264"/>
      <c r="I68" s="264"/>
      <c r="J68" s="264"/>
      <c r="K68" s="264"/>
      <c r="L68" s="264"/>
      <c r="M68" s="264"/>
      <c r="N68" s="265">
        <f>-N57</f>
        <v>-128</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24184</v>
      </c>
      <c r="G72" s="264"/>
      <c r="H72" s="264"/>
      <c r="I72" s="264"/>
      <c r="J72" s="264"/>
      <c r="K72" s="264"/>
      <c r="L72" s="264"/>
      <c r="M72" s="264"/>
      <c r="N72" s="264">
        <f>SUM(N59:N71)</f>
        <v>21190</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42613</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2994-146</f>
        <v>2848</v>
      </c>
      <c r="M77" s="263"/>
      <c r="N77" s="265"/>
      <c r="O77" s="266"/>
      <c r="P77" s="5"/>
    </row>
    <row r="78" spans="1:16" ht="15.6" x14ac:dyDescent="0.3">
      <c r="A78" s="262"/>
      <c r="B78" s="263" t="s">
        <v>176</v>
      </c>
      <c r="C78" s="263"/>
      <c r="D78" s="300"/>
      <c r="E78" s="263"/>
      <c r="F78" s="309"/>
      <c r="G78" s="263"/>
      <c r="H78" s="263"/>
      <c r="I78" s="263"/>
      <c r="J78" s="263"/>
      <c r="K78" s="263"/>
      <c r="L78" s="264"/>
      <c r="M78" s="263"/>
      <c r="N78" s="265">
        <f>1134+98+352-991-66-382</f>
        <v>145</v>
      </c>
      <c r="O78" s="266"/>
      <c r="P78" s="5"/>
    </row>
    <row r="79" spans="1:16" ht="15.6" x14ac:dyDescent="0.3">
      <c r="A79" s="262"/>
      <c r="B79" s="263" t="s">
        <v>174</v>
      </c>
      <c r="C79" s="263"/>
      <c r="D79" s="300"/>
      <c r="E79" s="263"/>
      <c r="F79" s="309"/>
      <c r="G79" s="263"/>
      <c r="H79" s="263"/>
      <c r="I79" s="263"/>
      <c r="J79" s="263"/>
      <c r="K79" s="263"/>
      <c r="L79" s="264"/>
      <c r="M79" s="263"/>
      <c r="N79" s="265">
        <f>31+1232</f>
        <v>1263</v>
      </c>
      <c r="O79" s="266"/>
      <c r="P79" s="5"/>
    </row>
    <row r="80" spans="1:16" ht="15.6" x14ac:dyDescent="0.3">
      <c r="A80" s="262"/>
      <c r="B80" s="263" t="s">
        <v>175</v>
      </c>
      <c r="C80" s="263"/>
      <c r="D80" s="300"/>
      <c r="E80" s="263"/>
      <c r="F80" s="309"/>
      <c r="G80" s="263"/>
      <c r="H80" s="263"/>
      <c r="I80" s="263"/>
      <c r="J80" s="263"/>
      <c r="K80" s="263"/>
      <c r="L80" s="264"/>
      <c r="M80" s="263"/>
      <c r="N80" s="265">
        <v>2</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2848</v>
      </c>
      <c r="M83" s="263"/>
      <c r="N83" s="264">
        <f>SUM(N76:N82)</f>
        <v>1410</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2848</v>
      </c>
      <c r="M87" s="263"/>
      <c r="N87" s="264">
        <f>N83+N85+N84+N86</f>
        <v>1410</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-9-1-77</f>
        <v>-87</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-43</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-4</v>
      </c>
      <c r="O95" s="266"/>
      <c r="P95" s="5"/>
      <c r="Q95" s="104"/>
    </row>
    <row r="96" spans="1:17" ht="15.6" x14ac:dyDescent="0.3">
      <c r="A96" s="274" t="s">
        <v>170</v>
      </c>
      <c r="B96" s="263" t="s">
        <v>216</v>
      </c>
      <c r="C96" s="263"/>
      <c r="D96" s="263"/>
      <c r="E96" s="263"/>
      <c r="F96" s="263"/>
      <c r="G96" s="263"/>
      <c r="H96" s="263"/>
      <c r="I96" s="263"/>
      <c r="J96" s="263"/>
      <c r="K96" s="263"/>
      <c r="L96" s="263"/>
      <c r="M96" s="263"/>
      <c r="N96" s="265">
        <v>-5</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146</v>
      </c>
      <c r="M98" s="263"/>
      <c r="N98" s="265">
        <v>-146</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-10</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-1106</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-2994</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-2994</v>
      </c>
      <c r="M111" s="264"/>
      <c r="N111" s="264">
        <f>SUM(N88:N109)</f>
        <v>-1410</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AUGUST 2016</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146</v>
      </c>
      <c r="O144" s="266"/>
      <c r="P144" s="5"/>
    </row>
    <row r="145" spans="1:256" ht="15.6" x14ac:dyDescent="0.3">
      <c r="A145" s="262"/>
      <c r="B145" s="263" t="s">
        <v>51</v>
      </c>
      <c r="C145" s="263"/>
      <c r="D145" s="263"/>
      <c r="E145" s="263"/>
      <c r="F145" s="263"/>
      <c r="G145" s="263"/>
      <c r="H145" s="263"/>
      <c r="I145" s="263"/>
      <c r="J145" s="263"/>
      <c r="K145" s="263"/>
      <c r="L145" s="263"/>
      <c r="M145" s="263"/>
      <c r="N145" s="265">
        <f>+N143+N144</f>
        <v>146</v>
      </c>
      <c r="O145" s="266"/>
      <c r="P145" s="5"/>
    </row>
    <row r="146" spans="1:256" ht="15.6" x14ac:dyDescent="0.3">
      <c r="A146" s="262"/>
      <c r="B146" s="263" t="s">
        <v>264</v>
      </c>
      <c r="C146" s="263"/>
      <c r="D146" s="263"/>
      <c r="E146" s="263"/>
      <c r="F146" s="263"/>
      <c r="G146" s="263"/>
      <c r="H146" s="263"/>
      <c r="I146" s="263"/>
      <c r="J146" s="263"/>
      <c r="K146" s="263"/>
      <c r="L146" s="263"/>
      <c r="M146" s="263"/>
      <c r="N146" s="265">
        <f>N98</f>
        <v>-146</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21190</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21190</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+'May 16'!N161</f>
        <v>211</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15</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68</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128</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+'May 16'!L168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30.720930232558139</v>
      </c>
      <c r="O173" s="266" t="s">
        <v>115</v>
      </c>
      <c r="P173" s="5"/>
    </row>
    <row r="174" spans="1:256" ht="15.6" x14ac:dyDescent="0.3">
      <c r="A174" s="262"/>
      <c r="B174" s="263" t="s">
        <v>63</v>
      </c>
      <c r="C174" s="263"/>
      <c r="D174" s="263"/>
      <c r="E174" s="263"/>
      <c r="F174" s="263"/>
      <c r="G174" s="263"/>
      <c r="H174" s="263"/>
      <c r="I174" s="263"/>
      <c r="J174" s="263"/>
      <c r="K174" s="263"/>
      <c r="L174" s="263"/>
      <c r="M174" s="263"/>
      <c r="N174" s="315">
        <v>2.21</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319.5</v>
      </c>
      <c r="O175" s="266" t="s">
        <v>115</v>
      </c>
      <c r="P175" s="5"/>
    </row>
    <row r="176" spans="1:256" ht="15.6" x14ac:dyDescent="0.3">
      <c r="A176" s="262"/>
      <c r="B176" s="263" t="s">
        <v>65</v>
      </c>
      <c r="C176" s="263"/>
      <c r="D176" s="263"/>
      <c r="E176" s="263"/>
      <c r="F176" s="263"/>
      <c r="G176" s="263"/>
      <c r="H176" s="263"/>
      <c r="I176" s="263"/>
      <c r="J176" s="263"/>
      <c r="K176" s="263"/>
      <c r="L176" s="263"/>
      <c r="M176" s="263"/>
      <c r="N176" s="315">
        <v>51.16</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254.8</v>
      </c>
      <c r="O177" s="266" t="s">
        <v>115</v>
      </c>
      <c r="P177" s="5"/>
    </row>
    <row r="178" spans="1:16" ht="15.6" x14ac:dyDescent="0.3">
      <c r="A178" s="262"/>
      <c r="B178" s="263" t="s">
        <v>167</v>
      </c>
      <c r="C178" s="263"/>
      <c r="D178" s="263"/>
      <c r="E178" s="263"/>
      <c r="F178" s="263"/>
      <c r="G178" s="263"/>
      <c r="H178" s="263"/>
      <c r="I178" s="263"/>
      <c r="J178" s="263"/>
      <c r="K178" s="263"/>
      <c r="L178" s="263"/>
      <c r="M178" s="263"/>
      <c r="N178" s="315">
        <v>48.17</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AUGUST 2016</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42613</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4.4359999999999997E-2</v>
      </c>
      <c r="M188" s="263"/>
      <c r="N188" s="263"/>
      <c r="O188" s="266"/>
      <c r="P188" s="5"/>
    </row>
    <row r="189" spans="1:16" ht="15.6" x14ac:dyDescent="0.3">
      <c r="A189" s="321"/>
      <c r="B189" s="263" t="s">
        <v>212</v>
      </c>
      <c r="C189" s="322"/>
      <c r="D189" s="303"/>
      <c r="E189" s="303"/>
      <c r="F189" s="303"/>
      <c r="G189" s="303"/>
      <c r="H189" s="303"/>
      <c r="I189" s="303"/>
      <c r="J189" s="303"/>
      <c r="K189" s="303"/>
      <c r="L189" s="297">
        <f>N34</f>
        <v>8.409241445783663E-3</v>
      </c>
      <c r="M189" s="263"/>
      <c r="N189" s="263"/>
      <c r="O189" s="266"/>
      <c r="P189" s="5"/>
    </row>
    <row r="190" spans="1:16" ht="15.6" x14ac:dyDescent="0.3">
      <c r="A190" s="321"/>
      <c r="B190" s="263" t="s">
        <v>70</v>
      </c>
      <c r="C190" s="322"/>
      <c r="D190" s="303"/>
      <c r="E190" s="303"/>
      <c r="F190" s="303"/>
      <c r="G190" s="303"/>
      <c r="H190" s="303"/>
      <c r="I190" s="303"/>
      <c r="J190" s="303"/>
      <c r="K190" s="303"/>
      <c r="L190" s="297">
        <f>L188-L189</f>
        <v>3.5950758554216332E-2</v>
      </c>
      <c r="M190" s="263"/>
      <c r="N190" s="263"/>
      <c r="O190" s="266"/>
      <c r="P190" s="5"/>
    </row>
    <row r="191" spans="1:16" ht="15.6" x14ac:dyDescent="0.3">
      <c r="A191" s="321"/>
      <c r="B191" s="263" t="s">
        <v>203</v>
      </c>
      <c r="C191" s="322"/>
      <c r="D191" s="303"/>
      <c r="E191" s="303"/>
      <c r="F191" s="303"/>
      <c r="G191" s="303"/>
      <c r="H191" s="303"/>
      <c r="I191" s="303"/>
      <c r="J191" s="303"/>
      <c r="K191" s="303"/>
      <c r="L191" s="297">
        <f>+N87/F59</f>
        <v>5.7798729247796679E-2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4.6900000000000004</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0.1238008600727754</v>
      </c>
      <c r="M197" s="263"/>
      <c r="N197" s="263"/>
      <c r="O197" s="266"/>
      <c r="P197" s="5"/>
    </row>
    <row r="198" spans="1:16" ht="15.6" x14ac:dyDescent="0.3">
      <c r="A198" s="321"/>
      <c r="B198" s="263" t="s">
        <v>74</v>
      </c>
      <c r="C198" s="322"/>
      <c r="D198" s="303"/>
      <c r="E198" s="303"/>
      <c r="F198" s="303"/>
      <c r="G198" s="303"/>
      <c r="H198" s="303"/>
      <c r="I198" s="303"/>
      <c r="J198" s="303"/>
      <c r="K198" s="303"/>
      <c r="L198" s="297">
        <v>0.2727</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8</v>
      </c>
      <c r="L201" s="331">
        <v>411</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1</v>
      </c>
      <c r="L203" s="331">
        <f>+L286</f>
        <v>142</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146</v>
      </c>
      <c r="M207" s="291"/>
      <c r="N207" s="337"/>
      <c r="O207" s="342"/>
      <c r="P207" s="5"/>
    </row>
    <row r="208" spans="1:16" ht="15.6" x14ac:dyDescent="0.3">
      <c r="A208" s="330"/>
      <c r="B208" s="263" t="s">
        <v>82</v>
      </c>
      <c r="C208" s="264"/>
      <c r="D208" s="263"/>
      <c r="E208" s="263"/>
      <c r="F208" s="263"/>
      <c r="G208" s="263"/>
      <c r="H208" s="263"/>
      <c r="I208" s="263"/>
      <c r="J208" s="263"/>
      <c r="K208" s="276"/>
      <c r="L208" s="331">
        <f>'May 16'!L208+L207</f>
        <v>191</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1</v>
      </c>
      <c r="L210" s="331">
        <v>991</v>
      </c>
      <c r="M210" s="291"/>
      <c r="N210" s="337"/>
      <c r="O210" s="342"/>
      <c r="P210" s="5"/>
    </row>
    <row r="211" spans="1:17" ht="15.6" x14ac:dyDescent="0.3">
      <c r="A211" s="347"/>
      <c r="B211" s="263" t="s">
        <v>83</v>
      </c>
      <c r="C211" s="300"/>
      <c r="D211" s="263"/>
      <c r="E211" s="263"/>
      <c r="F211" s="263"/>
      <c r="G211" s="263"/>
      <c r="H211" s="263"/>
      <c r="I211" s="263"/>
      <c r="J211" s="263"/>
      <c r="K211" s="263"/>
      <c r="L211" s="339">
        <v>39.94</v>
      </c>
      <c r="M211" s="291"/>
      <c r="N211" s="337"/>
      <c r="O211" s="342"/>
      <c r="P211" s="5"/>
    </row>
    <row r="212" spans="1:17" ht="15.6" x14ac:dyDescent="0.3">
      <c r="A212" s="347"/>
      <c r="B212" s="263" t="s">
        <v>84</v>
      </c>
      <c r="C212" s="300"/>
      <c r="D212" s="263"/>
      <c r="E212" s="263"/>
      <c r="F212" s="263"/>
      <c r="G212" s="263"/>
      <c r="H212" s="263"/>
      <c r="I212" s="263"/>
      <c r="J212" s="263"/>
      <c r="K212" s="263"/>
      <c r="L212" s="339">
        <v>38.08</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520</v>
      </c>
      <c r="K221" s="355">
        <f t="shared" ref="K221:K233" si="2">J221/$J$235</f>
        <v>0.94890510948905105</v>
      </c>
      <c r="L221" s="265">
        <f t="shared" ref="L221:L233" si="3">+L238+L255+L272</f>
        <v>20020</v>
      </c>
      <c r="M221" s="355">
        <f t="shared" ref="M221:M233" si="4">L221/$L$235</f>
        <v>0.94478527607361962</v>
      </c>
      <c r="N221" s="332"/>
      <c r="O221" s="356"/>
      <c r="P221" s="5"/>
    </row>
    <row r="222" spans="1:17" ht="15.6" x14ac:dyDescent="0.3">
      <c r="A222" s="262"/>
      <c r="B222" s="264" t="s">
        <v>86</v>
      </c>
      <c r="C222" s="354"/>
      <c r="D222" s="354"/>
      <c r="E222" s="354"/>
      <c r="F222" s="354"/>
      <c r="G222" s="354"/>
      <c r="H222" s="354"/>
      <c r="I222" s="354"/>
      <c r="J222" s="264">
        <f t="shared" si="1"/>
        <v>10</v>
      </c>
      <c r="K222" s="355">
        <f t="shared" si="2"/>
        <v>1.824817518248175E-2</v>
      </c>
      <c r="L222" s="265">
        <f t="shared" si="3"/>
        <v>512</v>
      </c>
      <c r="M222" s="355">
        <f t="shared" si="4"/>
        <v>2.4162340726757905E-2</v>
      </c>
      <c r="N222" s="332"/>
      <c r="O222" s="356"/>
      <c r="P222" s="5"/>
      <c r="Q222" s="104"/>
    </row>
    <row r="223" spans="1:17" ht="15.6" x14ac:dyDescent="0.3">
      <c r="A223" s="262"/>
      <c r="B223" s="264" t="s">
        <v>87</v>
      </c>
      <c r="C223" s="354"/>
      <c r="D223" s="354"/>
      <c r="E223" s="354"/>
      <c r="F223" s="354"/>
      <c r="G223" s="354"/>
      <c r="H223" s="354"/>
      <c r="I223" s="354"/>
      <c r="J223" s="264">
        <f t="shared" si="1"/>
        <v>3</v>
      </c>
      <c r="K223" s="355">
        <f t="shared" si="2"/>
        <v>5.4744525547445258E-3</v>
      </c>
      <c r="L223" s="265">
        <f t="shared" si="3"/>
        <v>164</v>
      </c>
      <c r="M223" s="355">
        <f t="shared" si="4"/>
        <v>7.739499764039641E-3</v>
      </c>
      <c r="N223" s="332"/>
      <c r="O223" s="356"/>
      <c r="P223" s="5"/>
    </row>
    <row r="224" spans="1:17" ht="15.6" x14ac:dyDescent="0.3">
      <c r="A224" s="262"/>
      <c r="B224" s="264" t="s">
        <v>145</v>
      </c>
      <c r="C224" s="354"/>
      <c r="D224" s="354"/>
      <c r="E224" s="354"/>
      <c r="F224" s="354"/>
      <c r="G224" s="354"/>
      <c r="H224" s="354"/>
      <c r="I224" s="354"/>
      <c r="J224" s="264">
        <f t="shared" si="1"/>
        <v>1</v>
      </c>
      <c r="K224" s="355">
        <f t="shared" si="2"/>
        <v>1.8248175182481751E-3</v>
      </c>
      <c r="L224" s="265">
        <f t="shared" si="3"/>
        <v>17</v>
      </c>
      <c r="M224" s="355">
        <f t="shared" si="4"/>
        <v>8.0226521944313351E-4</v>
      </c>
      <c r="N224" s="332"/>
      <c r="O224" s="356"/>
      <c r="P224" s="5"/>
      <c r="Q224" s="104"/>
    </row>
    <row r="225" spans="1:17" ht="15.6" x14ac:dyDescent="0.3">
      <c r="A225" s="262"/>
      <c r="B225" s="264" t="s">
        <v>146</v>
      </c>
      <c r="C225" s="354"/>
      <c r="D225" s="354"/>
      <c r="E225" s="354"/>
      <c r="F225" s="354"/>
      <c r="G225" s="354"/>
      <c r="H225" s="354"/>
      <c r="I225" s="354"/>
      <c r="J225" s="264">
        <f t="shared" si="1"/>
        <v>1</v>
      </c>
      <c r="K225" s="355">
        <f t="shared" si="2"/>
        <v>1.8248175182481751E-3</v>
      </c>
      <c r="L225" s="265">
        <f t="shared" si="3"/>
        <v>40</v>
      </c>
      <c r="M225" s="355">
        <f t="shared" si="4"/>
        <v>1.8876828692779614E-3</v>
      </c>
      <c r="N225" s="332"/>
      <c r="O225" s="356"/>
      <c r="P225" s="5"/>
    </row>
    <row r="226" spans="1:17" ht="15.6" x14ac:dyDescent="0.3">
      <c r="A226" s="262"/>
      <c r="B226" s="264" t="s">
        <v>147</v>
      </c>
      <c r="C226" s="354"/>
      <c r="D226" s="354"/>
      <c r="E226" s="354"/>
      <c r="F226" s="354"/>
      <c r="G226" s="354"/>
      <c r="H226" s="354"/>
      <c r="I226" s="354"/>
      <c r="J226" s="264">
        <f t="shared" si="1"/>
        <v>1</v>
      </c>
      <c r="K226" s="355">
        <f t="shared" si="2"/>
        <v>1.8248175182481751E-3</v>
      </c>
      <c r="L226" s="265">
        <f t="shared" si="3"/>
        <v>11</v>
      </c>
      <c r="M226" s="355">
        <f t="shared" si="4"/>
        <v>5.1911278905143938E-4</v>
      </c>
      <c r="N226" s="332"/>
      <c r="O226" s="356"/>
      <c r="P226" s="5"/>
      <c r="Q226" s="104"/>
    </row>
    <row r="227" spans="1:17" ht="15.6" x14ac:dyDescent="0.3">
      <c r="A227" s="262"/>
      <c r="B227" s="264" t="s">
        <v>227</v>
      </c>
      <c r="C227" s="354"/>
      <c r="D227" s="354"/>
      <c r="E227" s="354"/>
      <c r="F227" s="354"/>
      <c r="G227" s="354"/>
      <c r="H227" s="354"/>
      <c r="I227" s="354"/>
      <c r="J227" s="264">
        <f t="shared" si="1"/>
        <v>2</v>
      </c>
      <c r="K227" s="355">
        <f t="shared" si="2"/>
        <v>3.6496350364963502E-3</v>
      </c>
      <c r="L227" s="265">
        <f t="shared" si="3"/>
        <v>76</v>
      </c>
      <c r="M227" s="355">
        <f t="shared" si="4"/>
        <v>3.5865974516281264E-3</v>
      </c>
      <c r="N227" s="332"/>
      <c r="O227" s="356"/>
      <c r="P227" s="5"/>
    </row>
    <row r="228" spans="1:17" ht="15.6" x14ac:dyDescent="0.3">
      <c r="A228" s="262"/>
      <c r="B228" s="264" t="s">
        <v>228</v>
      </c>
      <c r="C228" s="354"/>
      <c r="D228" s="354"/>
      <c r="E228" s="354"/>
      <c r="F228" s="354"/>
      <c r="G228" s="354"/>
      <c r="H228" s="354"/>
      <c r="I228" s="354"/>
      <c r="J228" s="264">
        <f t="shared" si="1"/>
        <v>3</v>
      </c>
      <c r="K228" s="355">
        <f t="shared" si="2"/>
        <v>5.4744525547445258E-3</v>
      </c>
      <c r="L228" s="265">
        <f t="shared" si="3"/>
        <v>51</v>
      </c>
      <c r="M228" s="355">
        <f t="shared" si="4"/>
        <v>2.4067956583294007E-3</v>
      </c>
      <c r="N228" s="332"/>
      <c r="O228" s="356"/>
      <c r="P228" s="5"/>
      <c r="Q228" s="104"/>
    </row>
    <row r="229" spans="1:17" ht="15.6" x14ac:dyDescent="0.3">
      <c r="A229" s="262"/>
      <c r="B229" s="264" t="s">
        <v>229</v>
      </c>
      <c r="C229" s="354"/>
      <c r="D229" s="354"/>
      <c r="E229" s="354"/>
      <c r="F229" s="354"/>
      <c r="G229" s="354"/>
      <c r="H229" s="354"/>
      <c r="I229" s="354"/>
      <c r="J229" s="264">
        <f t="shared" si="1"/>
        <v>1</v>
      </c>
      <c r="K229" s="355">
        <f t="shared" si="2"/>
        <v>1.8248175182481751E-3</v>
      </c>
      <c r="L229" s="265">
        <f t="shared" si="3"/>
        <v>21</v>
      </c>
      <c r="M229" s="355">
        <f t="shared" si="4"/>
        <v>9.9103350637092967E-4</v>
      </c>
      <c r="N229" s="332"/>
      <c r="O229" s="356"/>
      <c r="P229" s="5"/>
      <c r="Q229" s="104"/>
    </row>
    <row r="230" spans="1:17" ht="15.6" x14ac:dyDescent="0.3">
      <c r="A230" s="262"/>
      <c r="B230" s="264" t="s">
        <v>230</v>
      </c>
      <c r="C230" s="354"/>
      <c r="D230" s="354"/>
      <c r="E230" s="354"/>
      <c r="F230" s="354"/>
      <c r="G230" s="354"/>
      <c r="H230" s="354"/>
      <c r="I230" s="354"/>
      <c r="J230" s="264">
        <f t="shared" si="1"/>
        <v>0</v>
      </c>
      <c r="K230" s="355">
        <f t="shared" si="2"/>
        <v>0</v>
      </c>
      <c r="L230" s="265">
        <f t="shared" si="3"/>
        <v>0</v>
      </c>
      <c r="M230" s="355">
        <f t="shared" si="4"/>
        <v>0</v>
      </c>
      <c r="N230" s="332"/>
      <c r="O230" s="356"/>
      <c r="P230" s="5"/>
      <c r="Q230" s="104"/>
    </row>
    <row r="231" spans="1:17" ht="15.6" x14ac:dyDescent="0.3">
      <c r="A231" s="262"/>
      <c r="B231" s="264" t="s">
        <v>231</v>
      </c>
      <c r="C231" s="354"/>
      <c r="D231" s="354"/>
      <c r="E231" s="354"/>
      <c r="F231" s="354"/>
      <c r="G231" s="354"/>
      <c r="H231" s="354"/>
      <c r="I231" s="354"/>
      <c r="J231" s="264">
        <f t="shared" si="1"/>
        <v>0</v>
      </c>
      <c r="K231" s="355">
        <f t="shared" si="2"/>
        <v>0</v>
      </c>
      <c r="L231" s="265">
        <f t="shared" si="3"/>
        <v>0</v>
      </c>
      <c r="M231" s="355">
        <f t="shared" si="4"/>
        <v>0</v>
      </c>
      <c r="N231" s="332"/>
      <c r="O231" s="356"/>
      <c r="P231" s="5"/>
      <c r="Q231" s="104"/>
    </row>
    <row r="232" spans="1:17" ht="15.6" x14ac:dyDescent="0.3">
      <c r="A232" s="262"/>
      <c r="B232" s="264" t="s">
        <v>232</v>
      </c>
      <c r="C232" s="354"/>
      <c r="D232" s="354"/>
      <c r="E232" s="354"/>
      <c r="F232" s="354"/>
      <c r="G232" s="354"/>
      <c r="H232" s="354"/>
      <c r="I232" s="354"/>
      <c r="J232" s="264">
        <f t="shared" si="1"/>
        <v>3</v>
      </c>
      <c r="K232" s="355">
        <f t="shared" si="2"/>
        <v>5.4744525547445258E-3</v>
      </c>
      <c r="L232" s="265">
        <f t="shared" si="3"/>
        <v>219</v>
      </c>
      <c r="M232" s="355">
        <f t="shared" si="4"/>
        <v>1.0335063709296839E-2</v>
      </c>
      <c r="N232" s="332"/>
      <c r="O232" s="356"/>
      <c r="P232" s="5"/>
      <c r="Q232" s="104"/>
    </row>
    <row r="233" spans="1:17" ht="15.6" x14ac:dyDescent="0.3">
      <c r="A233" s="262"/>
      <c r="B233" s="264" t="s">
        <v>233</v>
      </c>
      <c r="C233" s="354"/>
      <c r="D233" s="354"/>
      <c r="E233" s="354"/>
      <c r="F233" s="354"/>
      <c r="G233" s="354"/>
      <c r="H233" s="354"/>
      <c r="I233" s="354"/>
      <c r="J233" s="264">
        <f t="shared" si="1"/>
        <v>3</v>
      </c>
      <c r="K233" s="355">
        <f t="shared" si="2"/>
        <v>5.4744525547445258E-3</v>
      </c>
      <c r="L233" s="265">
        <f t="shared" si="3"/>
        <v>59</v>
      </c>
      <c r="M233" s="355">
        <f t="shared" si="4"/>
        <v>2.7843322321849931E-3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548</v>
      </c>
      <c r="K235" s="355">
        <f>SUM(K221:K234)</f>
        <v>1</v>
      </c>
      <c r="L235" s="265">
        <f>SUM(L221:L234)</f>
        <v>21190</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520</v>
      </c>
      <c r="K238" s="355">
        <f t="shared" ref="K238:K250" si="5">J238/$J$252</f>
        <v>0.95063985374771476</v>
      </c>
      <c r="L238" s="265">
        <v>20020</v>
      </c>
      <c r="M238" s="355">
        <f t="shared" ref="M238:M250" si="6">L238/$L$252</f>
        <v>0.95115925503610799</v>
      </c>
      <c r="N238" s="332"/>
      <c r="O238" s="356"/>
      <c r="P238" s="5"/>
    </row>
    <row r="239" spans="1:17" ht="15.6" x14ac:dyDescent="0.3">
      <c r="A239" s="262"/>
      <c r="B239" s="264" t="s">
        <v>86</v>
      </c>
      <c r="C239" s="354"/>
      <c r="D239" s="354"/>
      <c r="E239" s="354"/>
      <c r="F239" s="354"/>
      <c r="G239" s="354"/>
      <c r="H239" s="354"/>
      <c r="I239" s="354"/>
      <c r="J239" s="264">
        <v>10</v>
      </c>
      <c r="K239" s="355">
        <f t="shared" si="5"/>
        <v>1.8281535648994516E-2</v>
      </c>
      <c r="L239" s="265">
        <v>512</v>
      </c>
      <c r="M239" s="355">
        <f t="shared" si="6"/>
        <v>2.4325351577347016E-2</v>
      </c>
      <c r="N239" s="332"/>
      <c r="O239" s="356"/>
      <c r="P239" s="5"/>
      <c r="Q239" s="104"/>
    </row>
    <row r="240" spans="1:17" ht="15.6" x14ac:dyDescent="0.3">
      <c r="A240" s="262"/>
      <c r="B240" s="264" t="s">
        <v>87</v>
      </c>
      <c r="C240" s="354"/>
      <c r="D240" s="354"/>
      <c r="E240" s="354"/>
      <c r="F240" s="354"/>
      <c r="G240" s="354"/>
      <c r="H240" s="354"/>
      <c r="I240" s="354"/>
      <c r="J240" s="264">
        <v>3</v>
      </c>
      <c r="K240" s="355">
        <f t="shared" si="5"/>
        <v>5.4844606946983544E-3</v>
      </c>
      <c r="L240" s="265">
        <v>164</v>
      </c>
      <c r="M240" s="355">
        <f t="shared" si="6"/>
        <v>7.7917141771189661E-3</v>
      </c>
      <c r="N240" s="332"/>
      <c r="O240" s="356"/>
      <c r="P240" s="5"/>
    </row>
    <row r="241" spans="1:17" ht="15.6" x14ac:dyDescent="0.3">
      <c r="A241" s="262"/>
      <c r="B241" s="264" t="s">
        <v>145</v>
      </c>
      <c r="C241" s="354"/>
      <c r="D241" s="354"/>
      <c r="E241" s="354"/>
      <c r="F241" s="354"/>
      <c r="G241" s="354"/>
      <c r="H241" s="354"/>
      <c r="I241" s="354"/>
      <c r="J241" s="264">
        <v>1</v>
      </c>
      <c r="K241" s="355">
        <f t="shared" si="5"/>
        <v>1.8281535648994515E-3</v>
      </c>
      <c r="L241" s="265">
        <v>17</v>
      </c>
      <c r="M241" s="355">
        <f t="shared" si="6"/>
        <v>8.076776890916001E-4</v>
      </c>
      <c r="N241" s="332"/>
      <c r="O241" s="356"/>
      <c r="P241" s="5"/>
      <c r="Q241" s="104"/>
    </row>
    <row r="242" spans="1:17" ht="15.6" x14ac:dyDescent="0.3">
      <c r="A242" s="262"/>
      <c r="B242" s="264" t="s">
        <v>146</v>
      </c>
      <c r="C242" s="354"/>
      <c r="D242" s="354"/>
      <c r="E242" s="354"/>
      <c r="F242" s="354"/>
      <c r="G242" s="354"/>
      <c r="H242" s="354"/>
      <c r="I242" s="354"/>
      <c r="J242" s="264">
        <v>1</v>
      </c>
      <c r="K242" s="355">
        <f t="shared" si="5"/>
        <v>1.8281535648994515E-3</v>
      </c>
      <c r="L242" s="265">
        <v>40</v>
      </c>
      <c r="M242" s="355">
        <f t="shared" si="6"/>
        <v>1.9004180919802356E-3</v>
      </c>
      <c r="N242" s="332"/>
      <c r="O242" s="356"/>
      <c r="P242" s="5"/>
    </row>
    <row r="243" spans="1:17" ht="15.6" x14ac:dyDescent="0.3">
      <c r="A243" s="262"/>
      <c r="B243" s="264" t="s">
        <v>147</v>
      </c>
      <c r="C243" s="354"/>
      <c r="D243" s="354"/>
      <c r="E243" s="354"/>
      <c r="F243" s="354"/>
      <c r="G243" s="354"/>
      <c r="H243" s="354"/>
      <c r="I243" s="354"/>
      <c r="J243" s="264">
        <v>1</v>
      </c>
      <c r="K243" s="355">
        <f t="shared" si="5"/>
        <v>1.8281535648994515E-3</v>
      </c>
      <c r="L243" s="265">
        <v>11</v>
      </c>
      <c r="M243" s="355">
        <f t="shared" si="6"/>
        <v>5.2261497529456486E-4</v>
      </c>
      <c r="N243" s="332"/>
      <c r="O243" s="356"/>
      <c r="P243" s="5"/>
      <c r="Q243" s="104"/>
    </row>
    <row r="244" spans="1:17" ht="15.6" x14ac:dyDescent="0.3">
      <c r="A244" s="262"/>
      <c r="B244" s="264" t="s">
        <v>227</v>
      </c>
      <c r="C244" s="354"/>
      <c r="D244" s="354"/>
      <c r="E244" s="354"/>
      <c r="F244" s="354"/>
      <c r="G244" s="354"/>
      <c r="H244" s="354"/>
      <c r="I244" s="354"/>
      <c r="J244" s="264">
        <v>2</v>
      </c>
      <c r="K244" s="355">
        <f t="shared" si="5"/>
        <v>3.6563071297989031E-3</v>
      </c>
      <c r="L244" s="265">
        <v>76</v>
      </c>
      <c r="M244" s="355">
        <f t="shared" si="6"/>
        <v>3.6107943747624477E-3</v>
      </c>
      <c r="N244" s="332"/>
      <c r="O244" s="356"/>
      <c r="P244" s="5"/>
    </row>
    <row r="245" spans="1:17" ht="15.6" x14ac:dyDescent="0.3">
      <c r="A245" s="262"/>
      <c r="B245" s="264" t="s">
        <v>228</v>
      </c>
      <c r="C245" s="354"/>
      <c r="D245" s="354"/>
      <c r="E245" s="354"/>
      <c r="F245" s="354"/>
      <c r="G245" s="354"/>
      <c r="H245" s="354"/>
      <c r="I245" s="354"/>
      <c r="J245" s="264">
        <v>3</v>
      </c>
      <c r="K245" s="355">
        <f t="shared" si="5"/>
        <v>5.4844606946983544E-3</v>
      </c>
      <c r="L245" s="265">
        <v>51</v>
      </c>
      <c r="M245" s="355">
        <f t="shared" si="6"/>
        <v>2.4230330672748005E-3</v>
      </c>
      <c r="N245" s="332"/>
      <c r="O245" s="356"/>
      <c r="P245" s="5"/>
      <c r="Q245" s="104"/>
    </row>
    <row r="246" spans="1:17" ht="15.6" x14ac:dyDescent="0.3">
      <c r="A246" s="262"/>
      <c r="B246" s="264" t="s">
        <v>229</v>
      </c>
      <c r="C246" s="354"/>
      <c r="D246" s="354"/>
      <c r="E246" s="354"/>
      <c r="F246" s="354"/>
      <c r="G246" s="354"/>
      <c r="H246" s="354"/>
      <c r="I246" s="354"/>
      <c r="J246" s="264">
        <v>1</v>
      </c>
      <c r="K246" s="355">
        <f t="shared" si="5"/>
        <v>1.8281535648994515E-3</v>
      </c>
      <c r="L246" s="265">
        <v>21</v>
      </c>
      <c r="M246" s="355">
        <f t="shared" si="6"/>
        <v>9.9771949828962375E-4</v>
      </c>
      <c r="N246" s="332"/>
      <c r="O246" s="356"/>
      <c r="P246" s="5"/>
      <c r="Q246" s="104"/>
    </row>
    <row r="247" spans="1:17" ht="15.6" x14ac:dyDescent="0.3">
      <c r="A247" s="262"/>
      <c r="B247" s="264" t="s">
        <v>230</v>
      </c>
      <c r="C247" s="354"/>
      <c r="D247" s="354"/>
      <c r="E247" s="354"/>
      <c r="F247" s="354"/>
      <c r="G247" s="354"/>
      <c r="H247" s="354"/>
      <c r="I247" s="354"/>
      <c r="J247" s="264">
        <v>0</v>
      </c>
      <c r="K247" s="355">
        <f t="shared" si="5"/>
        <v>0</v>
      </c>
      <c r="L247" s="265">
        <v>0</v>
      </c>
      <c r="M247" s="355">
        <f t="shared" si="6"/>
        <v>0</v>
      </c>
      <c r="N247" s="332"/>
      <c r="O247" s="356"/>
      <c r="P247" s="5"/>
      <c r="Q247" s="104"/>
    </row>
    <row r="248" spans="1:17" ht="15.6" x14ac:dyDescent="0.3">
      <c r="A248" s="262"/>
      <c r="B248" s="264" t="s">
        <v>231</v>
      </c>
      <c r="C248" s="354"/>
      <c r="D248" s="354"/>
      <c r="E248" s="354"/>
      <c r="F248" s="354"/>
      <c r="G248" s="354"/>
      <c r="H248" s="354"/>
      <c r="I248" s="354"/>
      <c r="J248" s="264">
        <v>0</v>
      </c>
      <c r="K248" s="355">
        <f t="shared" si="5"/>
        <v>0</v>
      </c>
      <c r="L248" s="265">
        <v>0</v>
      </c>
      <c r="M248" s="355">
        <f t="shared" si="6"/>
        <v>0</v>
      </c>
      <c r="N248" s="332"/>
      <c r="O248" s="356"/>
      <c r="P248" s="5"/>
      <c r="Q248" s="104"/>
    </row>
    <row r="249" spans="1:17" ht="15.6" x14ac:dyDescent="0.3">
      <c r="A249" s="262"/>
      <c r="B249" s="264" t="s">
        <v>232</v>
      </c>
      <c r="C249" s="354"/>
      <c r="D249" s="354"/>
      <c r="E249" s="354"/>
      <c r="F249" s="354"/>
      <c r="G249" s="354"/>
      <c r="H249" s="354"/>
      <c r="I249" s="354"/>
      <c r="J249" s="264">
        <v>2</v>
      </c>
      <c r="K249" s="355">
        <f t="shared" si="5"/>
        <v>3.6563071297989031E-3</v>
      </c>
      <c r="L249" s="265">
        <v>77</v>
      </c>
      <c r="M249" s="355">
        <f t="shared" si="6"/>
        <v>3.6583048270619535E-3</v>
      </c>
      <c r="N249" s="397"/>
      <c r="O249" s="356"/>
      <c r="P249" s="5"/>
      <c r="Q249" s="104"/>
    </row>
    <row r="250" spans="1:17" ht="15.6" x14ac:dyDescent="0.3">
      <c r="A250" s="262"/>
      <c r="B250" s="264" t="s">
        <v>233</v>
      </c>
      <c r="C250" s="354"/>
      <c r="D250" s="354"/>
      <c r="E250" s="354"/>
      <c r="F250" s="354"/>
      <c r="G250" s="354"/>
      <c r="H250" s="354"/>
      <c r="I250" s="354"/>
      <c r="J250" s="264">
        <v>3</v>
      </c>
      <c r="K250" s="355">
        <f t="shared" si="5"/>
        <v>5.4844606946983544E-3</v>
      </c>
      <c r="L250" s="265">
        <v>59</v>
      </c>
      <c r="M250" s="355">
        <f t="shared" si="6"/>
        <v>2.8031166856708474E-3</v>
      </c>
      <c r="N250" s="397"/>
      <c r="O250" s="356"/>
      <c r="P250" s="5"/>
      <c r="Q250" s="104"/>
    </row>
    <row r="251" spans="1:17" ht="18" customHeight="1"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547</v>
      </c>
      <c r="K252" s="355">
        <f>SUM(K238:K251)</f>
        <v>0.99999999999999967</v>
      </c>
      <c r="L252" s="265">
        <f>SUM(L238:L251)</f>
        <v>21048</v>
      </c>
      <c r="M252" s="355">
        <f>SUM(M238:M251)</f>
        <v>1.0000000000000002</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1</v>
      </c>
      <c r="K283" s="355">
        <f t="shared" si="7"/>
        <v>1</v>
      </c>
      <c r="L283" s="265">
        <v>142</v>
      </c>
      <c r="M283" s="355">
        <f t="shared" si="8"/>
        <v>1</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1</v>
      </c>
      <c r="K286" s="355">
        <f>SUM(K272:K284)</f>
        <v>1</v>
      </c>
      <c r="L286" s="265">
        <f>SUM(L272:L284)</f>
        <v>142</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548</v>
      </c>
      <c r="K288" s="355"/>
      <c r="L288" s="359">
        <f>+L286+L269+L252</f>
        <v>21190</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AUGUST 2016</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53" orientation="landscape" r:id="rId1"/>
  <headerFooter alignWithMargins="0"/>
  <rowBreaks count="3" manualBreakCount="3">
    <brk id="52" max="14" man="1"/>
    <brk id="115" max="14" man="1"/>
    <brk id="182" max="14" man="1"/>
  </rowBreaks>
  <colBreaks count="1" manualBreakCount="1">
    <brk id="15" max="298"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V299"/>
  <sheetViews>
    <sheetView showGridLines="0" showOutlineSymbols="0" zoomScale="80" zoomScaleNormal="8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0.159</v>
      </c>
      <c r="L16" s="232" t="s">
        <v>133</v>
      </c>
      <c r="M16" s="231">
        <v>0.84099999999999997</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42724</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152</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17993.1518</v>
      </c>
      <c r="E29" s="279"/>
      <c r="F29" s="279">
        <f>F28*F32</f>
        <v>1598.20047</v>
      </c>
      <c r="G29" s="279"/>
      <c r="H29" s="279">
        <f>H28*H32</f>
        <v>1598.20047</v>
      </c>
      <c r="I29" s="279"/>
      <c r="J29" s="284"/>
      <c r="K29" s="279"/>
      <c r="L29" s="279"/>
      <c r="M29" s="280"/>
      <c r="N29" s="279">
        <f>SUM(D29:H29)</f>
        <v>21189.552739999999</v>
      </c>
      <c r="O29" s="281"/>
      <c r="P29" s="5"/>
    </row>
    <row r="30" spans="1:16" ht="15.6" x14ac:dyDescent="0.3">
      <c r="A30" s="274"/>
      <c r="B30" s="275" t="s">
        <v>130</v>
      </c>
      <c r="C30" s="278"/>
      <c r="D30" s="285">
        <f>D28*D31</f>
        <v>16680.283899999999</v>
      </c>
      <c r="E30" s="285"/>
      <c r="F30" s="285">
        <f>F28*F31</f>
        <v>1598.20047</v>
      </c>
      <c r="G30" s="285"/>
      <c r="H30" s="285">
        <f>H28*H31</f>
        <v>1598.20047</v>
      </c>
      <c r="I30" s="285"/>
      <c r="J30" s="288"/>
      <c r="K30" s="279"/>
      <c r="L30" s="279"/>
      <c r="M30" s="280"/>
      <c r="N30" s="285">
        <f>SUM(D30:I30)</f>
        <v>19876.684839999998</v>
      </c>
      <c r="O30" s="281"/>
      <c r="P30" s="5"/>
    </row>
    <row r="31" spans="1:16" ht="15.6" x14ac:dyDescent="0.3">
      <c r="A31" s="262"/>
      <c r="B31" s="290" t="s">
        <v>126</v>
      </c>
      <c r="C31" s="291"/>
      <c r="D31" s="292">
        <v>6.40318E-2</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6.9071599999999997E-2</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6.2188E-3</v>
      </c>
      <c r="E34" s="297"/>
      <c r="F34" s="298">
        <v>7.4187999999999997E-3</v>
      </c>
      <c r="G34" s="297"/>
      <c r="H34" s="298">
        <v>9.4187999999999997E-3</v>
      </c>
      <c r="I34" s="297"/>
      <c r="J34" s="298"/>
      <c r="K34" s="297"/>
      <c r="L34" s="298"/>
      <c r="M34" s="268"/>
      <c r="N34" s="297">
        <f>SUMPRODUCT(D34:H34,D29:H29)/N29</f>
        <v>6.5506655261054845E-3</v>
      </c>
      <c r="O34" s="266"/>
      <c r="P34" s="5"/>
    </row>
    <row r="35" spans="1:17" ht="15.6" x14ac:dyDescent="0.3">
      <c r="A35" s="274"/>
      <c r="B35" s="263" t="s">
        <v>11</v>
      </c>
      <c r="C35" s="263"/>
      <c r="D35" s="298">
        <v>8.1188000000000007E-3</v>
      </c>
      <c r="E35" s="297"/>
      <c r="F35" s="298">
        <v>9.3188000000000003E-3</v>
      </c>
      <c r="G35" s="297"/>
      <c r="H35" s="298">
        <v>1.13188E-2</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0.19162749022515141</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42719</v>
      </c>
      <c r="O45" s="266"/>
      <c r="P45" s="5"/>
    </row>
    <row r="46" spans="1:17" ht="15.6" x14ac:dyDescent="0.3">
      <c r="A46" s="274"/>
      <c r="B46" s="263" t="s">
        <v>119</v>
      </c>
      <c r="C46" s="263"/>
      <c r="D46" s="305"/>
      <c r="E46" s="305"/>
      <c r="F46" s="305"/>
      <c r="G46" s="305"/>
      <c r="H46" s="305"/>
      <c r="I46" s="305"/>
      <c r="J46" s="263">
        <f>+N46-L46+1</f>
        <v>92</v>
      </c>
      <c r="K46" s="305"/>
      <c r="L46" s="306">
        <v>42536</v>
      </c>
      <c r="M46" s="307"/>
      <c r="N46" s="306">
        <v>42627</v>
      </c>
      <c r="O46" s="266"/>
      <c r="P46" s="5"/>
    </row>
    <row r="47" spans="1:17" ht="15.6" x14ac:dyDescent="0.3">
      <c r="A47" s="274"/>
      <c r="B47" s="263" t="s">
        <v>120</v>
      </c>
      <c r="C47" s="263"/>
      <c r="D47" s="263"/>
      <c r="E47" s="263"/>
      <c r="F47" s="263"/>
      <c r="G47" s="263"/>
      <c r="H47" s="263"/>
      <c r="I47" s="263"/>
      <c r="J47" s="263">
        <f>+N47-L47+1</f>
        <v>91</v>
      </c>
      <c r="K47" s="263"/>
      <c r="L47" s="306">
        <v>42628</v>
      </c>
      <c r="M47" s="307"/>
      <c r="N47" s="306">
        <v>42718</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42705</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289</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21190</v>
      </c>
      <c r="G56" s="264"/>
      <c r="H56" s="264">
        <v>1313</v>
      </c>
      <c r="I56" s="264"/>
      <c r="J56" s="264">
        <v>0</v>
      </c>
      <c r="K56" s="264"/>
      <c r="L56" s="264">
        <v>0</v>
      </c>
      <c r="M56" s="264"/>
      <c r="N56" s="265">
        <f>+F56-H56+J56-L56</f>
        <v>19877</v>
      </c>
      <c r="O56" s="266"/>
      <c r="P56" s="5"/>
    </row>
    <row r="57" spans="1:16" ht="15.6" x14ac:dyDescent="0.3">
      <c r="A57" s="262"/>
      <c r="B57" s="263" t="s">
        <v>209</v>
      </c>
      <c r="C57" s="264"/>
      <c r="D57" s="264">
        <v>756</v>
      </c>
      <c r="E57" s="264"/>
      <c r="F57" s="265">
        <v>128</v>
      </c>
      <c r="G57" s="264"/>
      <c r="H57" s="264">
        <v>9</v>
      </c>
      <c r="I57" s="264"/>
      <c r="J57" s="264">
        <v>0</v>
      </c>
      <c r="K57" s="264"/>
      <c r="L57" s="264">
        <v>0</v>
      </c>
      <c r="M57" s="264"/>
      <c r="N57" s="265">
        <f>+F57-H57</f>
        <v>119</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21318</v>
      </c>
      <c r="G59" s="264"/>
      <c r="H59" s="264">
        <f>SUM(H56:H58)</f>
        <v>1322</v>
      </c>
      <c r="I59" s="264"/>
      <c r="J59" s="264">
        <f>SUM(J56:J58)</f>
        <v>0</v>
      </c>
      <c r="K59" s="264"/>
      <c r="L59" s="264">
        <f>SUM(L56:L58)</f>
        <v>0</v>
      </c>
      <c r="M59" s="264"/>
      <c r="N59" s="264">
        <f>SUM(N56:N58)</f>
        <v>19996</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-211</v>
      </c>
      <c r="G68" s="264"/>
      <c r="H68" s="264"/>
      <c r="I68" s="264"/>
      <c r="J68" s="264"/>
      <c r="K68" s="264"/>
      <c r="L68" s="264"/>
      <c r="M68" s="264"/>
      <c r="N68" s="265">
        <f>-N57</f>
        <v>-119</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21107</v>
      </c>
      <c r="G72" s="264"/>
      <c r="H72" s="264"/>
      <c r="I72" s="264"/>
      <c r="J72" s="264"/>
      <c r="K72" s="264"/>
      <c r="L72" s="264"/>
      <c r="M72" s="264"/>
      <c r="N72" s="264">
        <f>SUM(N59:N71)</f>
        <v>19877</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42704</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1313-25</f>
        <v>1288</v>
      </c>
      <c r="M77" s="263"/>
      <c r="N77" s="265"/>
      <c r="O77" s="266"/>
      <c r="P77" s="5"/>
    </row>
    <row r="78" spans="1:16" ht="15.6" x14ac:dyDescent="0.3">
      <c r="A78" s="262"/>
      <c r="B78" s="263" t="s">
        <v>176</v>
      </c>
      <c r="C78" s="263"/>
      <c r="D78" s="300"/>
      <c r="E78" s="263"/>
      <c r="F78" s="309"/>
      <c r="G78" s="263"/>
      <c r="H78" s="263"/>
      <c r="I78" s="263"/>
      <c r="J78" s="263"/>
      <c r="K78" s="263"/>
      <c r="L78" s="264"/>
      <c r="M78" s="263"/>
      <c r="N78" s="265">
        <f>738+59+270-583-28-141</f>
        <v>315</v>
      </c>
      <c r="O78" s="266"/>
      <c r="P78" s="5"/>
    </row>
    <row r="79" spans="1:16" ht="15.6" x14ac:dyDescent="0.3">
      <c r="A79" s="262"/>
      <c r="B79" s="263" t="s">
        <v>174</v>
      </c>
      <c r="C79" s="263"/>
      <c r="D79" s="300"/>
      <c r="E79" s="263"/>
      <c r="F79" s="309"/>
      <c r="G79" s="263"/>
      <c r="H79" s="263"/>
      <c r="I79" s="263"/>
      <c r="J79" s="263"/>
      <c r="K79" s="263"/>
      <c r="L79" s="264"/>
      <c r="M79" s="263"/>
      <c r="N79" s="265">
        <f>5+3</f>
        <v>8</v>
      </c>
      <c r="O79" s="266"/>
      <c r="P79" s="5"/>
    </row>
    <row r="80" spans="1:16" ht="15.6" x14ac:dyDescent="0.3">
      <c r="A80" s="262"/>
      <c r="B80" s="263" t="s">
        <v>175</v>
      </c>
      <c r="C80" s="263"/>
      <c r="D80" s="300"/>
      <c r="E80" s="263"/>
      <c r="F80" s="309"/>
      <c r="G80" s="263"/>
      <c r="H80" s="263"/>
      <c r="I80" s="263"/>
      <c r="J80" s="263"/>
      <c r="K80" s="263"/>
      <c r="L80" s="264"/>
      <c r="M80" s="263"/>
      <c r="N80" s="265">
        <v>1</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1288</v>
      </c>
      <c r="M83" s="263"/>
      <c r="N83" s="264">
        <f>SUM(N76:N82)</f>
        <v>324</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1288</v>
      </c>
      <c r="M87" s="263"/>
      <c r="N87" s="264">
        <f>N83+N85+N84+N86</f>
        <v>324</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-8-1-59</f>
        <v>-68</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-28</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-3</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25</v>
      </c>
      <c r="M98" s="263"/>
      <c r="N98" s="265">
        <v>-25</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-8</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-179</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-1313</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-1313</v>
      </c>
      <c r="M111" s="264"/>
      <c r="N111" s="264">
        <f>SUM(N88:N109)</f>
        <v>-324</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NOVEMBER 2016</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25</v>
      </c>
      <c r="O144" s="266"/>
      <c r="P144" s="5"/>
    </row>
    <row r="145" spans="1:256" ht="15.6" x14ac:dyDescent="0.3">
      <c r="A145" s="262"/>
      <c r="B145" s="263" t="s">
        <v>51</v>
      </c>
      <c r="C145" s="263"/>
      <c r="D145" s="263"/>
      <c r="E145" s="263"/>
      <c r="F145" s="263"/>
      <c r="G145" s="263"/>
      <c r="H145" s="263"/>
      <c r="I145" s="263"/>
      <c r="J145" s="263"/>
      <c r="K145" s="263"/>
      <c r="L145" s="263"/>
      <c r="M145" s="263"/>
      <c r="N145" s="265">
        <f>+N143+N144</f>
        <v>25</v>
      </c>
      <c r="O145" s="266"/>
      <c r="P145" s="5"/>
    </row>
    <row r="146" spans="1:256" ht="15.6" x14ac:dyDescent="0.3">
      <c r="A146" s="262"/>
      <c r="B146" s="263" t="s">
        <v>264</v>
      </c>
      <c r="C146" s="263"/>
      <c r="D146" s="263"/>
      <c r="E146" s="263"/>
      <c r="F146" s="263"/>
      <c r="G146" s="263"/>
      <c r="H146" s="263"/>
      <c r="I146" s="263"/>
      <c r="J146" s="263"/>
      <c r="K146" s="263"/>
      <c r="L146" s="263"/>
      <c r="M146" s="263"/>
      <c r="N146" s="265">
        <f>N98</f>
        <v>-25</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19877</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19877</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+'Aug 16'!N161</f>
        <v>128</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9</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119</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+'Aug 16'!L168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9.0714285714285712</v>
      </c>
      <c r="O173" s="266" t="s">
        <v>115</v>
      </c>
      <c r="P173" s="5"/>
    </row>
    <row r="174" spans="1:256" ht="15.6" x14ac:dyDescent="0.3">
      <c r="A174" s="262"/>
      <c r="B174" s="263" t="s">
        <v>63</v>
      </c>
      <c r="C174" s="263"/>
      <c r="D174" s="263"/>
      <c r="E174" s="263"/>
      <c r="F174" s="263"/>
      <c r="G174" s="263"/>
      <c r="H174" s="263"/>
      <c r="I174" s="263"/>
      <c r="J174" s="263"/>
      <c r="K174" s="263"/>
      <c r="L174" s="263"/>
      <c r="M174" s="263"/>
      <c r="N174" s="315">
        <v>2.2200000000000002</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75.333333333333329</v>
      </c>
      <c r="O175" s="266" t="s">
        <v>115</v>
      </c>
      <c r="P175" s="5"/>
    </row>
    <row r="176" spans="1:256" ht="15.6" x14ac:dyDescent="0.3">
      <c r="A176" s="262"/>
      <c r="B176" s="263" t="s">
        <v>65</v>
      </c>
      <c r="C176" s="263"/>
      <c r="D176" s="263"/>
      <c r="E176" s="263"/>
      <c r="F176" s="263"/>
      <c r="G176" s="263"/>
      <c r="H176" s="263"/>
      <c r="I176" s="263"/>
      <c r="J176" s="263"/>
      <c r="K176" s="263"/>
      <c r="L176" s="263"/>
      <c r="M176" s="263"/>
      <c r="N176" s="315">
        <v>51.26</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55.75</v>
      </c>
      <c r="O177" s="266" t="s">
        <v>115</v>
      </c>
      <c r="P177" s="5"/>
    </row>
    <row r="178" spans="1:16" ht="15.6" x14ac:dyDescent="0.3">
      <c r="A178" s="262"/>
      <c r="B178" s="263" t="s">
        <v>167</v>
      </c>
      <c r="C178" s="263"/>
      <c r="D178" s="263"/>
      <c r="E178" s="263"/>
      <c r="F178" s="263"/>
      <c r="G178" s="263"/>
      <c r="H178" s="263"/>
      <c r="I178" s="263"/>
      <c r="J178" s="263"/>
      <c r="K178" s="263"/>
      <c r="L178" s="263"/>
      <c r="M178" s="263"/>
      <c r="N178" s="315">
        <v>48.21</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NOVEMBER 2016</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42704</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4.1860000000000001E-2</v>
      </c>
      <c r="M188" s="263"/>
      <c r="N188" s="263"/>
      <c r="O188" s="266"/>
      <c r="P188" s="5"/>
    </row>
    <row r="189" spans="1:16" ht="15.6" x14ac:dyDescent="0.3">
      <c r="A189" s="321"/>
      <c r="B189" s="263" t="s">
        <v>212</v>
      </c>
      <c r="C189" s="322"/>
      <c r="D189" s="303"/>
      <c r="E189" s="303"/>
      <c r="F189" s="303"/>
      <c r="G189" s="303"/>
      <c r="H189" s="303"/>
      <c r="I189" s="303"/>
      <c r="J189" s="303"/>
      <c r="K189" s="303"/>
      <c r="L189" s="297">
        <f>N34</f>
        <v>6.5506655261054845E-3</v>
      </c>
      <c r="M189" s="263"/>
      <c r="N189" s="263"/>
      <c r="O189" s="266"/>
      <c r="P189" s="5"/>
    </row>
    <row r="190" spans="1:16" ht="15.6" x14ac:dyDescent="0.3">
      <c r="A190" s="321"/>
      <c r="B190" s="263" t="s">
        <v>70</v>
      </c>
      <c r="C190" s="322"/>
      <c r="D190" s="303"/>
      <c r="E190" s="303"/>
      <c r="F190" s="303"/>
      <c r="G190" s="303"/>
      <c r="H190" s="303"/>
      <c r="I190" s="303"/>
      <c r="J190" s="303"/>
      <c r="K190" s="303"/>
      <c r="L190" s="297">
        <f>L188-L189</f>
        <v>3.5309334473894519E-2</v>
      </c>
      <c r="M190" s="263"/>
      <c r="N190" s="263"/>
      <c r="O190" s="266"/>
      <c r="P190" s="5"/>
    </row>
    <row r="191" spans="1:16" ht="15.6" x14ac:dyDescent="0.3">
      <c r="A191" s="321"/>
      <c r="B191" s="263" t="s">
        <v>203</v>
      </c>
      <c r="C191" s="322"/>
      <c r="D191" s="303"/>
      <c r="E191" s="303"/>
      <c r="F191" s="303"/>
      <c r="G191" s="303"/>
      <c r="H191" s="303"/>
      <c r="I191" s="303"/>
      <c r="J191" s="303"/>
      <c r="K191" s="303"/>
      <c r="L191" s="297">
        <f>+N87/F59</f>
        <v>1.5198423867154517E-2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4.63</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6.1963190184049083E-2</v>
      </c>
      <c r="M197" s="263"/>
      <c r="N197" s="263"/>
      <c r="O197" s="266"/>
      <c r="P197" s="5"/>
    </row>
    <row r="198" spans="1:16" ht="15.6" x14ac:dyDescent="0.3">
      <c r="A198" s="321"/>
      <c r="B198" s="263" t="s">
        <v>74</v>
      </c>
      <c r="C198" s="322"/>
      <c r="D198" s="303"/>
      <c r="E198" s="303"/>
      <c r="F198" s="303"/>
      <c r="G198" s="303"/>
      <c r="H198" s="303"/>
      <c r="I198" s="303"/>
      <c r="J198" s="303"/>
      <c r="K198" s="303"/>
      <c r="L198" s="297">
        <v>0.27160000000000001</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8</v>
      </c>
      <c r="L201" s="331">
        <v>436</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2</v>
      </c>
      <c r="L203" s="331">
        <f>+L286</f>
        <v>167</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25</v>
      </c>
      <c r="M207" s="291"/>
      <c r="N207" s="337"/>
      <c r="O207" s="342"/>
      <c r="P207" s="5"/>
    </row>
    <row r="208" spans="1:16" ht="15.6" x14ac:dyDescent="0.3">
      <c r="A208" s="330"/>
      <c r="B208" s="263" t="s">
        <v>82</v>
      </c>
      <c r="C208" s="264"/>
      <c r="D208" s="263"/>
      <c r="E208" s="263"/>
      <c r="F208" s="263"/>
      <c r="G208" s="263"/>
      <c r="H208" s="263"/>
      <c r="I208" s="263"/>
      <c r="J208" s="263"/>
      <c r="K208" s="276"/>
      <c r="L208" s="331">
        <f>'Aug 16'!L208+L207</f>
        <v>216</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491</v>
      </c>
      <c r="K221" s="355">
        <f t="shared" ref="K221:K233" si="2">J221/$J$235</f>
        <v>0.94970986460348161</v>
      </c>
      <c r="L221" s="265">
        <f t="shared" ref="L221:L233" si="3">+L238+L255+L272</f>
        <v>18936</v>
      </c>
      <c r="M221" s="355">
        <f t="shared" ref="M221:M233" si="4">L221/$L$235</f>
        <v>0.95265885193942745</v>
      </c>
      <c r="N221" s="332"/>
      <c r="O221" s="356"/>
      <c r="P221" s="5"/>
    </row>
    <row r="222" spans="1:17" ht="15.6" x14ac:dyDescent="0.3">
      <c r="A222" s="262"/>
      <c r="B222" s="264" t="s">
        <v>86</v>
      </c>
      <c r="C222" s="354"/>
      <c r="D222" s="354"/>
      <c r="E222" s="354"/>
      <c r="F222" s="354"/>
      <c r="G222" s="354"/>
      <c r="H222" s="354"/>
      <c r="I222" s="354"/>
      <c r="J222" s="264">
        <f t="shared" si="1"/>
        <v>3</v>
      </c>
      <c r="K222" s="355">
        <f t="shared" si="2"/>
        <v>5.8027079303675051E-3</v>
      </c>
      <c r="L222" s="265">
        <f t="shared" si="3"/>
        <v>239</v>
      </c>
      <c r="M222" s="355">
        <f t="shared" si="4"/>
        <v>1.2023947275745838E-2</v>
      </c>
      <c r="N222" s="332"/>
      <c r="O222" s="356"/>
      <c r="P222" s="5"/>
      <c r="Q222" s="104"/>
    </row>
    <row r="223" spans="1:17" ht="15.6" x14ac:dyDescent="0.3">
      <c r="A223" s="262"/>
      <c r="B223" s="264" t="s">
        <v>87</v>
      </c>
      <c r="C223" s="354"/>
      <c r="D223" s="354"/>
      <c r="E223" s="354"/>
      <c r="F223" s="354"/>
      <c r="G223" s="354"/>
      <c r="H223" s="354"/>
      <c r="I223" s="354"/>
      <c r="J223" s="264">
        <f t="shared" si="1"/>
        <v>4</v>
      </c>
      <c r="K223" s="355">
        <f t="shared" si="2"/>
        <v>7.7369439071566732E-3</v>
      </c>
      <c r="L223" s="265">
        <f t="shared" si="3"/>
        <v>153</v>
      </c>
      <c r="M223" s="355">
        <f t="shared" si="4"/>
        <v>7.6973386325904312E-3</v>
      </c>
      <c r="N223" s="332"/>
      <c r="O223" s="356"/>
      <c r="P223" s="5"/>
    </row>
    <row r="224" spans="1:17" ht="15.6" x14ac:dyDescent="0.3">
      <c r="A224" s="262"/>
      <c r="B224" s="264" t="s">
        <v>145</v>
      </c>
      <c r="C224" s="354"/>
      <c r="D224" s="354"/>
      <c r="E224" s="354"/>
      <c r="F224" s="354"/>
      <c r="G224" s="354"/>
      <c r="H224" s="354"/>
      <c r="I224" s="354"/>
      <c r="J224" s="264">
        <f t="shared" si="1"/>
        <v>2</v>
      </c>
      <c r="K224" s="355">
        <f t="shared" si="2"/>
        <v>3.8684719535783366E-3</v>
      </c>
      <c r="L224" s="265">
        <f t="shared" si="3"/>
        <v>18</v>
      </c>
      <c r="M224" s="355">
        <f t="shared" si="4"/>
        <v>9.0556925089299188E-4</v>
      </c>
      <c r="N224" s="332"/>
      <c r="O224" s="356"/>
      <c r="P224" s="5"/>
      <c r="Q224" s="104"/>
    </row>
    <row r="225" spans="1:17" ht="15.6" x14ac:dyDescent="0.3">
      <c r="A225" s="262"/>
      <c r="B225" s="264" t="s">
        <v>146</v>
      </c>
      <c r="C225" s="354"/>
      <c r="D225" s="354"/>
      <c r="E225" s="354"/>
      <c r="F225" s="354"/>
      <c r="G225" s="354"/>
      <c r="H225" s="354"/>
      <c r="I225" s="354"/>
      <c r="J225" s="264">
        <f t="shared" si="1"/>
        <v>3</v>
      </c>
      <c r="K225" s="355">
        <f t="shared" si="2"/>
        <v>5.8027079303675051E-3</v>
      </c>
      <c r="L225" s="265">
        <f t="shared" si="3"/>
        <v>92</v>
      </c>
      <c r="M225" s="355">
        <f t="shared" si="4"/>
        <v>4.6284650601197365E-3</v>
      </c>
      <c r="N225" s="332"/>
      <c r="O225" s="356"/>
      <c r="P225" s="5"/>
    </row>
    <row r="226" spans="1:17" ht="15.6" x14ac:dyDescent="0.3">
      <c r="A226" s="262"/>
      <c r="B226" s="264" t="s">
        <v>147</v>
      </c>
      <c r="C226" s="354"/>
      <c r="D226" s="354"/>
      <c r="E226" s="354"/>
      <c r="F226" s="354"/>
      <c r="G226" s="354"/>
      <c r="H226" s="354"/>
      <c r="I226" s="354"/>
      <c r="J226" s="264">
        <f t="shared" si="1"/>
        <v>1</v>
      </c>
      <c r="K226" s="355">
        <f t="shared" si="2"/>
        <v>1.9342359767891683E-3</v>
      </c>
      <c r="L226" s="265">
        <f t="shared" si="3"/>
        <v>47</v>
      </c>
      <c r="M226" s="355">
        <f t="shared" si="4"/>
        <v>2.3645419328872565E-3</v>
      </c>
      <c r="N226" s="332"/>
      <c r="O226" s="356"/>
      <c r="P226" s="5"/>
      <c r="Q226" s="104"/>
    </row>
    <row r="227" spans="1:17" ht="15.6" x14ac:dyDescent="0.3">
      <c r="A227" s="262"/>
      <c r="B227" s="264" t="s">
        <v>227</v>
      </c>
      <c r="C227" s="354"/>
      <c r="D227" s="354"/>
      <c r="E227" s="354"/>
      <c r="F227" s="354"/>
      <c r="G227" s="354"/>
      <c r="H227" s="354"/>
      <c r="I227" s="354"/>
      <c r="J227" s="264">
        <f t="shared" si="1"/>
        <v>1</v>
      </c>
      <c r="K227" s="355">
        <f t="shared" si="2"/>
        <v>1.9342359767891683E-3</v>
      </c>
      <c r="L227" s="265">
        <f t="shared" si="3"/>
        <v>11</v>
      </c>
      <c r="M227" s="355">
        <f t="shared" si="4"/>
        <v>5.5340343110127279E-4</v>
      </c>
      <c r="N227" s="332"/>
      <c r="O227" s="356"/>
      <c r="P227" s="5"/>
    </row>
    <row r="228" spans="1:17" ht="15.6" x14ac:dyDescent="0.3">
      <c r="A228" s="262"/>
      <c r="B228" s="264" t="s">
        <v>228</v>
      </c>
      <c r="C228" s="354"/>
      <c r="D228" s="354"/>
      <c r="E228" s="354"/>
      <c r="F228" s="354"/>
      <c r="G228" s="354"/>
      <c r="H228" s="354"/>
      <c r="I228" s="354"/>
      <c r="J228" s="264">
        <f t="shared" si="1"/>
        <v>2</v>
      </c>
      <c r="K228" s="355">
        <f t="shared" si="2"/>
        <v>3.8684719535783366E-3</v>
      </c>
      <c r="L228" s="265">
        <f t="shared" si="3"/>
        <v>44</v>
      </c>
      <c r="M228" s="355">
        <f t="shared" si="4"/>
        <v>2.2136137244050912E-3</v>
      </c>
      <c r="N228" s="332"/>
      <c r="O228" s="356"/>
      <c r="P228" s="5"/>
      <c r="Q228" s="104"/>
    </row>
    <row r="229" spans="1:17" ht="15.6" x14ac:dyDescent="0.3">
      <c r="A229" s="262"/>
      <c r="B229" s="264" t="s">
        <v>229</v>
      </c>
      <c r="C229" s="354"/>
      <c r="D229" s="354"/>
      <c r="E229" s="354"/>
      <c r="F229" s="354"/>
      <c r="G229" s="354"/>
      <c r="H229" s="354"/>
      <c r="I229" s="354"/>
      <c r="J229" s="264">
        <f t="shared" si="1"/>
        <v>4</v>
      </c>
      <c r="K229" s="355">
        <f t="shared" si="2"/>
        <v>7.7369439071566732E-3</v>
      </c>
      <c r="L229" s="265">
        <f t="shared" si="3"/>
        <v>63</v>
      </c>
      <c r="M229" s="355">
        <f t="shared" si="4"/>
        <v>3.1694923781254718E-3</v>
      </c>
      <c r="N229" s="332"/>
      <c r="O229" s="356"/>
      <c r="P229" s="5"/>
      <c r="Q229" s="104"/>
    </row>
    <row r="230" spans="1:17" ht="15.6" x14ac:dyDescent="0.3">
      <c r="A230" s="262"/>
      <c r="B230" s="264" t="s">
        <v>230</v>
      </c>
      <c r="C230" s="354"/>
      <c r="D230" s="354"/>
      <c r="E230" s="354"/>
      <c r="F230" s="354"/>
      <c r="G230" s="354"/>
      <c r="H230" s="354"/>
      <c r="I230" s="354"/>
      <c r="J230" s="264">
        <f t="shared" si="1"/>
        <v>0</v>
      </c>
      <c r="K230" s="355">
        <f t="shared" si="2"/>
        <v>0</v>
      </c>
      <c r="L230" s="265">
        <f t="shared" si="3"/>
        <v>0</v>
      </c>
      <c r="M230" s="355">
        <f t="shared" si="4"/>
        <v>0</v>
      </c>
      <c r="N230" s="332"/>
      <c r="O230" s="356"/>
      <c r="P230" s="5"/>
      <c r="Q230" s="104"/>
    </row>
    <row r="231" spans="1:17" ht="15.6" x14ac:dyDescent="0.3">
      <c r="A231" s="262"/>
      <c r="B231" s="264" t="s">
        <v>231</v>
      </c>
      <c r="C231" s="354"/>
      <c r="D231" s="354"/>
      <c r="E231" s="354"/>
      <c r="F231" s="354"/>
      <c r="G231" s="354"/>
      <c r="H231" s="354"/>
      <c r="I231" s="354"/>
      <c r="J231" s="264">
        <f t="shared" si="1"/>
        <v>0</v>
      </c>
      <c r="K231" s="355">
        <f t="shared" si="2"/>
        <v>0</v>
      </c>
      <c r="L231" s="265">
        <f t="shared" si="3"/>
        <v>0</v>
      </c>
      <c r="M231" s="355">
        <f t="shared" si="4"/>
        <v>0</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1.9342359767891683E-3</v>
      </c>
      <c r="L232" s="265">
        <f t="shared" si="3"/>
        <v>52</v>
      </c>
      <c r="M232" s="355">
        <f t="shared" si="4"/>
        <v>2.616088947024199E-3</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9.6711798839458421E-3</v>
      </c>
      <c r="L233" s="265">
        <f t="shared" si="3"/>
        <v>222</v>
      </c>
      <c r="M233" s="355">
        <f t="shared" si="4"/>
        <v>1.1168687427680233E-2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517</v>
      </c>
      <c r="K235" s="355">
        <f>SUM(K221:K234)</f>
        <v>1</v>
      </c>
      <c r="L235" s="265">
        <f>SUM(L221:L234)</f>
        <v>19877</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491</v>
      </c>
      <c r="K238" s="355">
        <f t="shared" ref="K238:K250" si="5">J238/$J$252</f>
        <v>0.95339805825242718</v>
      </c>
      <c r="L238" s="265">
        <v>18936</v>
      </c>
      <c r="M238" s="355">
        <f t="shared" ref="M238:M250" si="6">L238/$L$252</f>
        <v>0.96073059360730595</v>
      </c>
      <c r="N238" s="332"/>
      <c r="O238" s="356"/>
      <c r="P238" s="5"/>
    </row>
    <row r="239" spans="1:17" ht="15.6" x14ac:dyDescent="0.3">
      <c r="A239" s="262"/>
      <c r="B239" s="264" t="s">
        <v>86</v>
      </c>
      <c r="C239" s="354"/>
      <c r="D239" s="354"/>
      <c r="E239" s="354"/>
      <c r="F239" s="354"/>
      <c r="G239" s="354"/>
      <c r="H239" s="354"/>
      <c r="I239" s="354"/>
      <c r="J239" s="264">
        <v>3</v>
      </c>
      <c r="K239" s="355">
        <f t="shared" si="5"/>
        <v>5.8252427184466021E-3</v>
      </c>
      <c r="L239" s="265">
        <v>239</v>
      </c>
      <c r="M239" s="355">
        <f t="shared" si="6"/>
        <v>1.2125824454591578E-2</v>
      </c>
      <c r="N239" s="332"/>
      <c r="O239" s="356"/>
      <c r="P239" s="5"/>
      <c r="Q239" s="104"/>
    </row>
    <row r="240" spans="1:17" ht="15.6" x14ac:dyDescent="0.3">
      <c r="A240" s="262"/>
      <c r="B240" s="264" t="s">
        <v>87</v>
      </c>
      <c r="C240" s="354"/>
      <c r="D240" s="354"/>
      <c r="E240" s="354"/>
      <c r="F240" s="354"/>
      <c r="G240" s="354"/>
      <c r="H240" s="354"/>
      <c r="I240" s="354"/>
      <c r="J240" s="264">
        <v>4</v>
      </c>
      <c r="K240" s="355">
        <f t="shared" si="5"/>
        <v>7.7669902912621356E-3</v>
      </c>
      <c r="L240" s="265">
        <v>153</v>
      </c>
      <c r="M240" s="355">
        <f t="shared" si="6"/>
        <v>7.7625570776255707E-3</v>
      </c>
      <c r="N240" s="332"/>
      <c r="O240" s="356"/>
      <c r="P240" s="5"/>
    </row>
    <row r="241" spans="1:17" ht="15.6" x14ac:dyDescent="0.3">
      <c r="A241" s="262"/>
      <c r="B241" s="264" t="s">
        <v>145</v>
      </c>
      <c r="C241" s="354"/>
      <c r="D241" s="354"/>
      <c r="E241" s="354"/>
      <c r="F241" s="354"/>
      <c r="G241" s="354"/>
      <c r="H241" s="354"/>
      <c r="I241" s="354"/>
      <c r="J241" s="264">
        <v>2</v>
      </c>
      <c r="K241" s="355">
        <f t="shared" si="5"/>
        <v>3.8834951456310678E-3</v>
      </c>
      <c r="L241" s="265">
        <v>18</v>
      </c>
      <c r="M241" s="355">
        <f t="shared" si="6"/>
        <v>9.1324200913242006E-4</v>
      </c>
      <c r="N241" s="332"/>
      <c r="O241" s="356"/>
      <c r="P241" s="5"/>
      <c r="Q241" s="104"/>
    </row>
    <row r="242" spans="1:17" ht="15.6" x14ac:dyDescent="0.3">
      <c r="A242" s="262"/>
      <c r="B242" s="264" t="s">
        <v>146</v>
      </c>
      <c r="C242" s="354"/>
      <c r="D242" s="354"/>
      <c r="E242" s="354"/>
      <c r="F242" s="354"/>
      <c r="G242" s="354"/>
      <c r="H242" s="354"/>
      <c r="I242" s="354"/>
      <c r="J242" s="264">
        <v>3</v>
      </c>
      <c r="K242" s="355">
        <f t="shared" si="5"/>
        <v>5.8252427184466021E-3</v>
      </c>
      <c r="L242" s="265">
        <v>92</v>
      </c>
      <c r="M242" s="355">
        <f t="shared" si="6"/>
        <v>4.6676813800101474E-3</v>
      </c>
      <c r="N242" s="332"/>
      <c r="O242" s="356"/>
      <c r="P242" s="5"/>
    </row>
    <row r="243" spans="1:17" ht="15.6" x14ac:dyDescent="0.3">
      <c r="A243" s="262"/>
      <c r="B243" s="264" t="s">
        <v>147</v>
      </c>
      <c r="C243" s="354"/>
      <c r="D243" s="354"/>
      <c r="E243" s="354"/>
      <c r="F243" s="354"/>
      <c r="G243" s="354"/>
      <c r="H243" s="354"/>
      <c r="I243" s="354"/>
      <c r="J243" s="264">
        <v>1</v>
      </c>
      <c r="K243" s="355">
        <f t="shared" si="5"/>
        <v>1.9417475728155339E-3</v>
      </c>
      <c r="L243" s="265">
        <v>47</v>
      </c>
      <c r="M243" s="355">
        <f t="shared" si="6"/>
        <v>2.3845763571790969E-3</v>
      </c>
      <c r="N243" s="332"/>
      <c r="O243" s="356"/>
      <c r="P243" s="5"/>
      <c r="Q243" s="104"/>
    </row>
    <row r="244" spans="1:17" ht="15.6" x14ac:dyDescent="0.3">
      <c r="A244" s="262"/>
      <c r="B244" s="264" t="s">
        <v>227</v>
      </c>
      <c r="C244" s="354"/>
      <c r="D244" s="354"/>
      <c r="E244" s="354"/>
      <c r="F244" s="354"/>
      <c r="G244" s="354"/>
      <c r="H244" s="354"/>
      <c r="I244" s="354"/>
      <c r="J244" s="264">
        <v>1</v>
      </c>
      <c r="K244" s="355">
        <f t="shared" si="5"/>
        <v>1.9417475728155339E-3</v>
      </c>
      <c r="L244" s="265">
        <v>11</v>
      </c>
      <c r="M244" s="355">
        <f t="shared" si="6"/>
        <v>5.5809233891425673E-4</v>
      </c>
      <c r="N244" s="332"/>
      <c r="O244" s="356"/>
      <c r="P244" s="5"/>
    </row>
    <row r="245" spans="1:17" ht="15.6" x14ac:dyDescent="0.3">
      <c r="A245" s="262"/>
      <c r="B245" s="264" t="s">
        <v>228</v>
      </c>
      <c r="C245" s="354"/>
      <c r="D245" s="354"/>
      <c r="E245" s="354"/>
      <c r="F245" s="354"/>
      <c r="G245" s="354"/>
      <c r="H245" s="354"/>
      <c r="I245" s="354"/>
      <c r="J245" s="264">
        <v>2</v>
      </c>
      <c r="K245" s="355">
        <f t="shared" si="5"/>
        <v>3.8834951456310678E-3</v>
      </c>
      <c r="L245" s="265">
        <v>44</v>
      </c>
      <c r="M245" s="355">
        <f t="shared" si="6"/>
        <v>2.2323693556570269E-3</v>
      </c>
      <c r="N245" s="332"/>
      <c r="O245" s="356"/>
      <c r="P245" s="5"/>
      <c r="Q245" s="104"/>
    </row>
    <row r="246" spans="1:17" ht="15.6" x14ac:dyDescent="0.3">
      <c r="A246" s="262"/>
      <c r="B246" s="264" t="s">
        <v>229</v>
      </c>
      <c r="C246" s="354"/>
      <c r="D246" s="354"/>
      <c r="E246" s="354"/>
      <c r="F246" s="354"/>
      <c r="G246" s="354"/>
      <c r="H246" s="354"/>
      <c r="I246" s="354"/>
      <c r="J246" s="264">
        <v>3</v>
      </c>
      <c r="K246" s="355">
        <f t="shared" si="5"/>
        <v>5.8252427184466021E-3</v>
      </c>
      <c r="L246" s="265">
        <v>38</v>
      </c>
      <c r="M246" s="355">
        <f t="shared" si="6"/>
        <v>1.9279553526128869E-3</v>
      </c>
      <c r="N246" s="332"/>
      <c r="O246" s="356"/>
      <c r="P246" s="5"/>
      <c r="Q246" s="104"/>
    </row>
    <row r="247" spans="1:17" ht="15.6" x14ac:dyDescent="0.3">
      <c r="A247" s="262"/>
      <c r="B247" s="264" t="s">
        <v>230</v>
      </c>
      <c r="C247" s="354"/>
      <c r="D247" s="354"/>
      <c r="E247" s="354"/>
      <c r="F247" s="354"/>
      <c r="G247" s="354"/>
      <c r="H247" s="354"/>
      <c r="I247" s="354"/>
      <c r="J247" s="264">
        <v>0</v>
      </c>
      <c r="K247" s="355">
        <f t="shared" si="5"/>
        <v>0</v>
      </c>
      <c r="L247" s="265">
        <v>0</v>
      </c>
      <c r="M247" s="355">
        <f t="shared" si="6"/>
        <v>0</v>
      </c>
      <c r="N247" s="332"/>
      <c r="O247" s="356"/>
      <c r="P247" s="5"/>
      <c r="Q247" s="104"/>
    </row>
    <row r="248" spans="1:17" ht="15.6" x14ac:dyDescent="0.3">
      <c r="A248" s="262"/>
      <c r="B248" s="264" t="s">
        <v>231</v>
      </c>
      <c r="C248" s="354"/>
      <c r="D248" s="354"/>
      <c r="E248" s="354"/>
      <c r="F248" s="354"/>
      <c r="G248" s="354"/>
      <c r="H248" s="354"/>
      <c r="I248" s="354"/>
      <c r="J248" s="264">
        <v>0</v>
      </c>
      <c r="K248" s="355">
        <f t="shared" si="5"/>
        <v>0</v>
      </c>
      <c r="L248" s="265">
        <v>0</v>
      </c>
      <c r="M248" s="355">
        <f t="shared" si="6"/>
        <v>0</v>
      </c>
      <c r="N248" s="332"/>
      <c r="O248" s="356"/>
      <c r="P248" s="5"/>
      <c r="Q248" s="104"/>
    </row>
    <row r="249" spans="1:17" ht="15.6" x14ac:dyDescent="0.3">
      <c r="A249" s="262"/>
      <c r="B249" s="264" t="s">
        <v>232</v>
      </c>
      <c r="C249" s="354"/>
      <c r="D249" s="354"/>
      <c r="E249" s="354"/>
      <c r="F249" s="354"/>
      <c r="G249" s="354"/>
      <c r="H249" s="354"/>
      <c r="I249" s="354"/>
      <c r="J249" s="264">
        <v>1</v>
      </c>
      <c r="K249" s="355">
        <f t="shared" si="5"/>
        <v>1.9417475728155339E-3</v>
      </c>
      <c r="L249" s="265">
        <v>52</v>
      </c>
      <c r="M249" s="355">
        <f t="shared" si="6"/>
        <v>2.6382546930492135E-3</v>
      </c>
      <c r="N249" s="397"/>
      <c r="O249" s="356"/>
      <c r="P249" s="5"/>
      <c r="Q249" s="104"/>
    </row>
    <row r="250" spans="1:17" ht="15.6" x14ac:dyDescent="0.3">
      <c r="A250" s="262"/>
      <c r="B250" s="264" t="s">
        <v>233</v>
      </c>
      <c r="C250" s="354"/>
      <c r="D250" s="354"/>
      <c r="E250" s="354"/>
      <c r="F250" s="354"/>
      <c r="G250" s="354"/>
      <c r="H250" s="354"/>
      <c r="I250" s="354"/>
      <c r="J250" s="264">
        <v>4</v>
      </c>
      <c r="K250" s="355">
        <f t="shared" si="5"/>
        <v>7.7669902912621356E-3</v>
      </c>
      <c r="L250" s="265">
        <v>80</v>
      </c>
      <c r="M250" s="355">
        <f t="shared" si="6"/>
        <v>4.0588533739218668E-3</v>
      </c>
      <c r="N250" s="397"/>
      <c r="O250" s="356"/>
      <c r="P250" s="5"/>
      <c r="Q250" s="104"/>
    </row>
    <row r="251" spans="1:17" ht="18" customHeight="1"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515</v>
      </c>
      <c r="K252" s="355">
        <f>SUM(K238:K251)</f>
        <v>1</v>
      </c>
      <c r="L252" s="265">
        <f>SUM(L238:L251)</f>
        <v>19710</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1</v>
      </c>
      <c r="K280" s="355">
        <f t="shared" si="7"/>
        <v>0.5</v>
      </c>
      <c r="L280" s="265">
        <v>25</v>
      </c>
      <c r="M280" s="355">
        <f t="shared" si="8"/>
        <v>0.1497005988023952</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0.5</v>
      </c>
      <c r="L284" s="265">
        <v>142</v>
      </c>
      <c r="M284" s="355">
        <f t="shared" si="8"/>
        <v>0.85029940119760483</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2</v>
      </c>
      <c r="K286" s="355">
        <f>SUM(K272:K284)</f>
        <v>1</v>
      </c>
      <c r="L286" s="265">
        <f>SUM(L272:L284)</f>
        <v>167</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517</v>
      </c>
      <c r="K288" s="355"/>
      <c r="L288" s="359">
        <f>+L286+L269+L252</f>
        <v>19877</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226"/>
      <c r="B293" s="229" t="s">
        <v>272</v>
      </c>
      <c r="C293" s="229"/>
      <c r="D293" s="256" t="s">
        <v>138</v>
      </c>
      <c r="E293" s="229"/>
      <c r="F293" s="229" t="s">
        <v>141</v>
      </c>
      <c r="G293" s="255"/>
      <c r="H293" s="255"/>
      <c r="I293" s="255"/>
      <c r="J293" s="256"/>
      <c r="K293" s="229"/>
      <c r="L293" s="229"/>
      <c r="M293" s="255"/>
      <c r="N293" s="255"/>
      <c r="O293" s="255"/>
      <c r="P293" s="5"/>
    </row>
    <row r="294" spans="1:16" ht="15.6" x14ac:dyDescent="0.3">
      <c r="A294" s="385"/>
      <c r="B294" s="229" t="s">
        <v>273</v>
      </c>
      <c r="C294" s="229"/>
      <c r="D294" s="256" t="s">
        <v>240</v>
      </c>
      <c r="E294" s="256"/>
      <c r="F294" s="229" t="s">
        <v>241</v>
      </c>
      <c r="G294" s="229"/>
      <c r="H294" s="255"/>
      <c r="I294" s="255"/>
      <c r="J294" s="256"/>
      <c r="K294" s="229"/>
      <c r="L294" s="229"/>
      <c r="M294" s="255"/>
      <c r="N294" s="255"/>
      <c r="O294" s="255"/>
      <c r="P294" s="5"/>
    </row>
    <row r="295" spans="1:16" ht="15.6" x14ac:dyDescent="0.3">
      <c r="A295" s="226"/>
      <c r="B295" s="229" t="s">
        <v>274</v>
      </c>
      <c r="C295" s="229"/>
      <c r="D295" s="256" t="s">
        <v>137</v>
      </c>
      <c r="E295" s="229"/>
      <c r="F295" s="229" t="s">
        <v>142</v>
      </c>
      <c r="G295" s="255"/>
      <c r="H295" s="255"/>
      <c r="I295" s="255"/>
      <c r="J295" s="256"/>
      <c r="K295" s="229"/>
      <c r="L295" s="229"/>
      <c r="M295" s="255"/>
      <c r="N295" s="255"/>
      <c r="O295" s="255"/>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5.6" x14ac:dyDescent="0.3">
      <c r="A297" s="226"/>
      <c r="B297" s="196"/>
      <c r="C297" s="196"/>
      <c r="D297" s="202"/>
      <c r="E297" s="202"/>
      <c r="F297" s="202"/>
      <c r="G297" s="202"/>
      <c r="H297" s="202"/>
      <c r="I297" s="202"/>
      <c r="J297" s="202"/>
      <c r="K297" s="202"/>
      <c r="L297" s="202"/>
      <c r="M297" s="202"/>
      <c r="N297" s="202"/>
      <c r="O297" s="202"/>
      <c r="P297" s="5"/>
    </row>
    <row r="298" spans="1:16" ht="18" thickBot="1" x14ac:dyDescent="0.35">
      <c r="A298" s="226"/>
      <c r="B298" s="257" t="str">
        <f>B182</f>
        <v>FF7 INVESTOR REPORT QUARTER ENDING NOVEMBER 2016</v>
      </c>
      <c r="C298" s="196"/>
      <c r="D298" s="202"/>
      <c r="E298" s="202"/>
      <c r="F298" s="202"/>
      <c r="G298" s="202"/>
      <c r="H298" s="202"/>
      <c r="I298" s="202"/>
      <c r="J298" s="202"/>
      <c r="K298" s="202"/>
      <c r="L298" s="202"/>
      <c r="M298" s="202"/>
      <c r="N298" s="202"/>
      <c r="O298" s="202"/>
      <c r="P298" s="5"/>
    </row>
    <row r="299" spans="1:16" x14ac:dyDescent="0.25">
      <c r="A299" s="95"/>
      <c r="B299" s="95"/>
      <c r="C299" s="95"/>
      <c r="D299" s="95"/>
      <c r="E299" s="95"/>
      <c r="F299" s="95"/>
      <c r="G299" s="95"/>
      <c r="H299" s="95"/>
      <c r="I299" s="95"/>
      <c r="J299" s="95"/>
      <c r="K299" s="95"/>
      <c r="L299" s="95"/>
      <c r="M299" s="95"/>
      <c r="N299" s="95"/>
      <c r="O299" s="95"/>
    </row>
  </sheetData>
  <printOptions horizontalCentered="1" verticalCentered="1"/>
  <pageMargins left="0.19685039370078741" right="0.19685039370078741" top="0.27559055118110237" bottom="0.27559055118110237" header="0" footer="0"/>
  <pageSetup scale="53" orientation="landscape" r:id="rId1"/>
  <headerFooter alignWithMargins="0"/>
  <rowBreaks count="3" manualBreakCount="3">
    <brk id="52" max="14" man="1"/>
    <brk id="115" max="14" man="1"/>
    <brk id="182" max="14" man="1"/>
  </rowBreaks>
  <colBreaks count="1" manualBreakCount="1">
    <brk id="15" max="29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sheetPr>
  <dimension ref="A1:IV283"/>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4.3799999999999999E-2</v>
      </c>
      <c r="L16" s="17" t="s">
        <v>133</v>
      </c>
      <c r="M16" s="129">
        <v>0.95620000000000005</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39532</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74"/>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74"/>
      <c r="N22" s="174"/>
      <c r="O22" s="8"/>
      <c r="P22" s="5"/>
    </row>
    <row r="23" spans="1:16" ht="15.6" x14ac:dyDescent="0.3">
      <c r="A23" s="24"/>
      <c r="B23" s="25" t="s">
        <v>7</v>
      </c>
      <c r="C23" s="26"/>
      <c r="D23" s="26" t="s">
        <v>134</v>
      </c>
      <c r="E23" s="26"/>
      <c r="F23" s="26" t="s">
        <v>152</v>
      </c>
      <c r="G23" s="26"/>
      <c r="H23" s="26" t="s">
        <v>135</v>
      </c>
      <c r="I23" s="26"/>
      <c r="J23" s="26"/>
      <c r="K23" s="26"/>
      <c r="L23" s="26"/>
      <c r="M23" s="175"/>
      <c r="N23" s="175"/>
      <c r="O23" s="25"/>
      <c r="P23" s="5"/>
    </row>
    <row r="24" spans="1:16" ht="15.6" x14ac:dyDescent="0.3">
      <c r="A24" s="28"/>
      <c r="B24" s="124" t="s">
        <v>162</v>
      </c>
      <c r="C24" s="118"/>
      <c r="D24" s="26" t="s">
        <v>134</v>
      </c>
      <c r="E24" s="26"/>
      <c r="F24" s="26" t="s">
        <v>152</v>
      </c>
      <c r="G24" s="26"/>
      <c r="H24" s="26" t="s">
        <v>135</v>
      </c>
      <c r="I24" s="26"/>
      <c r="J24" s="26"/>
      <c r="K24" s="118"/>
      <c r="L24" s="26"/>
      <c r="M24" s="175"/>
      <c r="N24" s="175"/>
      <c r="O24" s="25"/>
      <c r="P24" s="5"/>
    </row>
    <row r="25" spans="1:16" ht="15.6" x14ac:dyDescent="0.3">
      <c r="A25" s="24"/>
      <c r="B25" s="29" t="s">
        <v>163</v>
      </c>
      <c r="C25" s="26"/>
      <c r="D25" s="118" t="s">
        <v>134</v>
      </c>
      <c r="E25" s="118"/>
      <c r="F25" s="118" t="s">
        <v>152</v>
      </c>
      <c r="G25" s="118"/>
      <c r="H25" s="118" t="s">
        <v>135</v>
      </c>
      <c r="I25" s="118"/>
      <c r="J25" s="118"/>
      <c r="K25" s="26"/>
      <c r="L25" s="30"/>
      <c r="M25" s="175"/>
      <c r="N25" s="175"/>
      <c r="O25" s="25"/>
      <c r="P25" s="5"/>
    </row>
    <row r="26" spans="1:16" ht="15.6" x14ac:dyDescent="0.3">
      <c r="A26" s="24"/>
      <c r="B26" s="143" t="s">
        <v>164</v>
      </c>
      <c r="C26" s="26"/>
      <c r="D26" s="118" t="s">
        <v>134</v>
      </c>
      <c r="E26" s="118"/>
      <c r="F26" s="118" t="s">
        <v>152</v>
      </c>
      <c r="G26" s="118"/>
      <c r="H26" s="118" t="s">
        <v>135</v>
      </c>
      <c r="I26" s="118"/>
      <c r="J26" s="118"/>
      <c r="K26" s="26"/>
      <c r="L26" s="30"/>
      <c r="M26" s="175"/>
      <c r="N26" s="175"/>
      <c r="O26" s="25"/>
      <c r="P26" s="5"/>
    </row>
    <row r="27" spans="1:16" ht="15.6" x14ac:dyDescent="0.3">
      <c r="A27" s="24"/>
      <c r="B27" s="25" t="s">
        <v>8</v>
      </c>
      <c r="C27" s="32"/>
      <c r="D27" s="26" t="s">
        <v>218</v>
      </c>
      <c r="E27" s="26"/>
      <c r="F27" s="26" t="s">
        <v>219</v>
      </c>
      <c r="G27" s="26"/>
      <c r="H27" s="26" t="s">
        <v>220</v>
      </c>
      <c r="I27" s="26"/>
      <c r="J27" s="26"/>
      <c r="K27" s="31"/>
      <c r="L27" s="31"/>
      <c r="M27" s="176"/>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188952.6851</v>
      </c>
      <c r="E29" s="31"/>
      <c r="F29" s="31">
        <f>F28*F32</f>
        <v>4050</v>
      </c>
      <c r="G29" s="31"/>
      <c r="H29" s="31">
        <f>H28*H32</f>
        <v>4050</v>
      </c>
      <c r="I29" s="31"/>
      <c r="J29" s="119"/>
      <c r="K29" s="31"/>
      <c r="L29" s="31"/>
      <c r="M29" s="176"/>
      <c r="N29" s="31">
        <f>SUM(D29:H29)</f>
        <v>197052.6851</v>
      </c>
      <c r="O29" s="34"/>
      <c r="P29" s="5"/>
    </row>
    <row r="30" spans="1:16" ht="15.6" x14ac:dyDescent="0.3">
      <c r="A30" s="24"/>
      <c r="B30" s="29" t="s">
        <v>130</v>
      </c>
      <c r="C30" s="32"/>
      <c r="D30" s="35">
        <f>D28*D31</f>
        <v>175489.73249999998</v>
      </c>
      <c r="E30" s="35"/>
      <c r="F30" s="35">
        <f>F28*F31</f>
        <v>4050</v>
      </c>
      <c r="G30" s="35"/>
      <c r="H30" s="35">
        <f>H28*H31</f>
        <v>4050</v>
      </c>
      <c r="I30" s="35"/>
      <c r="J30" s="120"/>
      <c r="K30" s="31"/>
      <c r="L30" s="31"/>
      <c r="M30" s="176"/>
      <c r="N30" s="145">
        <f>SUM(D30:I30)</f>
        <v>183589.73249999998</v>
      </c>
      <c r="O30" s="34"/>
      <c r="P30" s="5"/>
    </row>
    <row r="31" spans="1:16" ht="15.6" x14ac:dyDescent="0.3">
      <c r="A31" s="24"/>
      <c r="B31" s="117" t="s">
        <v>126</v>
      </c>
      <c r="C31" s="25"/>
      <c r="D31" s="171">
        <v>0.67366499999999996</v>
      </c>
      <c r="E31" s="171"/>
      <c r="F31" s="171">
        <v>1</v>
      </c>
      <c r="G31" s="171"/>
      <c r="H31" s="171">
        <v>1</v>
      </c>
      <c r="I31" s="128"/>
      <c r="J31" s="128"/>
      <c r="K31" s="30"/>
      <c r="L31" s="30"/>
      <c r="M31" s="175"/>
      <c r="N31" s="175"/>
      <c r="O31" s="25"/>
      <c r="P31" s="5"/>
    </row>
    <row r="32" spans="1:16" ht="15.6" x14ac:dyDescent="0.3">
      <c r="A32" s="24"/>
      <c r="B32" s="117" t="s">
        <v>127</v>
      </c>
      <c r="C32" s="25"/>
      <c r="D32" s="171">
        <v>0.72534620000000005</v>
      </c>
      <c r="E32" s="171"/>
      <c r="F32" s="171">
        <v>1</v>
      </c>
      <c r="G32" s="171"/>
      <c r="H32" s="171">
        <v>1</v>
      </c>
      <c r="I32" s="128"/>
      <c r="J32" s="128"/>
      <c r="K32" s="39"/>
      <c r="L32" s="38"/>
      <c r="M32" s="175"/>
      <c r="N32" s="39"/>
      <c r="O32" s="25"/>
      <c r="P32" s="5"/>
    </row>
    <row r="33" spans="1:17" ht="15.6" x14ac:dyDescent="0.3">
      <c r="A33" s="24"/>
      <c r="B33" s="25" t="s">
        <v>9</v>
      </c>
      <c r="C33" s="25"/>
      <c r="D33" s="30" t="s">
        <v>192</v>
      </c>
      <c r="E33" s="30"/>
      <c r="F33" s="30" t="s">
        <v>194</v>
      </c>
      <c r="G33" s="30"/>
      <c r="H33" s="30" t="s">
        <v>196</v>
      </c>
      <c r="I33" s="30"/>
      <c r="J33" s="30"/>
      <c r="K33" s="39"/>
      <c r="L33" s="38"/>
      <c r="M33" s="175"/>
      <c r="N33" s="175"/>
      <c r="O33" s="25"/>
      <c r="P33" s="5"/>
    </row>
    <row r="34" spans="1:17" ht="15.6" x14ac:dyDescent="0.3">
      <c r="A34" s="24"/>
      <c r="B34" s="25" t="s">
        <v>10</v>
      </c>
      <c r="C34" s="25"/>
      <c r="D34" s="38">
        <v>6.5512500000000001E-2</v>
      </c>
      <c r="E34" s="39"/>
      <c r="F34" s="38">
        <v>6.6112500000000005E-2</v>
      </c>
      <c r="G34" s="39"/>
      <c r="H34" s="38">
        <v>6.7112500000000005E-2</v>
      </c>
      <c r="I34" s="39"/>
      <c r="J34" s="38"/>
      <c r="K34" s="39"/>
      <c r="L34" s="38"/>
      <c r="M34" s="175"/>
      <c r="N34" s="39">
        <f>SUMPRODUCT(D34:H34,D29:H29)/N29</f>
        <v>6.5557716333872737E-2</v>
      </c>
      <c r="O34" s="25"/>
      <c r="P34" s="5"/>
    </row>
    <row r="35" spans="1:17" ht="15.6" x14ac:dyDescent="0.3">
      <c r="A35" s="24"/>
      <c r="B35" s="25" t="s">
        <v>11</v>
      </c>
      <c r="C35" s="25"/>
      <c r="D35" s="38">
        <v>6.8712499999999996E-2</v>
      </c>
      <c r="E35" s="39"/>
      <c r="F35" s="38">
        <v>6.9312499999999999E-2</v>
      </c>
      <c r="G35" s="39"/>
      <c r="H35" s="38">
        <v>7.03125E-2</v>
      </c>
      <c r="I35" s="38"/>
      <c r="J35" s="38"/>
      <c r="K35" s="39"/>
      <c r="L35" s="38"/>
      <c r="M35" s="175"/>
      <c r="N35" s="39" t="s">
        <v>165</v>
      </c>
      <c r="O35" s="25"/>
      <c r="P35" s="5"/>
    </row>
    <row r="36" spans="1:17" ht="15.6" x14ac:dyDescent="0.3">
      <c r="A36" s="24"/>
      <c r="B36" s="25" t="s">
        <v>12</v>
      </c>
      <c r="C36" s="25"/>
      <c r="D36" s="105">
        <v>40617</v>
      </c>
      <c r="E36" s="105"/>
      <c r="F36" s="105">
        <v>40617</v>
      </c>
      <c r="G36" s="105"/>
      <c r="H36" s="105">
        <v>40617</v>
      </c>
      <c r="I36" s="105"/>
      <c r="J36" s="105"/>
      <c r="K36" s="30"/>
      <c r="L36" s="30"/>
      <c r="M36" s="175"/>
      <c r="N36" s="175"/>
      <c r="O36" s="25"/>
      <c r="P36" s="5"/>
    </row>
    <row r="37" spans="1:17" ht="15.6" x14ac:dyDescent="0.3">
      <c r="A37" s="24"/>
      <c r="B37" s="25" t="s">
        <v>13</v>
      </c>
      <c r="C37" s="25"/>
      <c r="D37" s="105">
        <v>40983</v>
      </c>
      <c r="E37" s="30"/>
      <c r="F37" s="105">
        <v>40983</v>
      </c>
      <c r="G37" s="30"/>
      <c r="H37" s="105">
        <v>40983</v>
      </c>
      <c r="I37" s="30"/>
      <c r="J37" s="105"/>
      <c r="K37" s="30"/>
      <c r="L37" s="30"/>
      <c r="M37" s="175"/>
      <c r="N37" s="175"/>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0"/>
      <c r="G39" s="30"/>
      <c r="H39" s="30"/>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4.6156546509067135E-2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39524</v>
      </c>
      <c r="O45" s="25"/>
      <c r="P45" s="5"/>
    </row>
    <row r="46" spans="1:17" ht="15.6" x14ac:dyDescent="0.3">
      <c r="A46" s="24"/>
      <c r="B46" s="25" t="s">
        <v>119</v>
      </c>
      <c r="C46" s="25"/>
      <c r="D46" s="56"/>
      <c r="E46" s="56"/>
      <c r="F46" s="56"/>
      <c r="G46" s="56"/>
      <c r="H46" s="56"/>
      <c r="I46" s="56"/>
      <c r="J46" s="25">
        <f>+N46-L46+1</f>
        <v>91</v>
      </c>
      <c r="K46" s="56"/>
      <c r="L46" s="44">
        <v>39342</v>
      </c>
      <c r="M46" s="45"/>
      <c r="N46" s="44">
        <v>39432</v>
      </c>
      <c r="O46" s="25"/>
      <c r="P46" s="5"/>
    </row>
    <row r="47" spans="1:17" ht="15.6" x14ac:dyDescent="0.3">
      <c r="A47" s="24"/>
      <c r="B47" s="25" t="s">
        <v>120</v>
      </c>
      <c r="C47" s="25"/>
      <c r="D47" s="25"/>
      <c r="E47" s="25"/>
      <c r="F47" s="25"/>
      <c r="G47" s="25"/>
      <c r="H47" s="25"/>
      <c r="I47" s="25"/>
      <c r="J47" s="25">
        <f>+N47-L47+1</f>
        <v>91</v>
      </c>
      <c r="K47" s="25"/>
      <c r="L47" s="44">
        <v>39433</v>
      </c>
      <c r="M47" s="45"/>
      <c r="N47" s="44">
        <v>39523</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39510</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245</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197053</v>
      </c>
      <c r="G57" s="34"/>
      <c r="H57" s="34">
        <f>13463+3501</f>
        <v>16964</v>
      </c>
      <c r="I57" s="34"/>
      <c r="J57" s="34">
        <v>3501</v>
      </c>
      <c r="K57" s="34"/>
      <c r="L57" s="34">
        <v>0</v>
      </c>
      <c r="M57" s="34"/>
      <c r="N57" s="52">
        <f>+F57-H57+J57-L57</f>
        <v>183590</v>
      </c>
      <c r="O57" s="25"/>
      <c r="P57" s="5"/>
    </row>
    <row r="58" spans="1:16" ht="15.6" x14ac:dyDescent="0.3">
      <c r="A58" s="24"/>
      <c r="B58" s="25" t="s">
        <v>209</v>
      </c>
      <c r="C58" s="34"/>
      <c r="D58" s="34">
        <v>756</v>
      </c>
      <c r="E58" s="34"/>
      <c r="F58" s="52">
        <v>638</v>
      </c>
      <c r="G58" s="34"/>
      <c r="H58" s="34">
        <v>36</v>
      </c>
      <c r="I58" s="34"/>
      <c r="J58" s="34">
        <v>0</v>
      </c>
      <c r="K58" s="34"/>
      <c r="L58" s="34">
        <v>0</v>
      </c>
      <c r="M58" s="34"/>
      <c r="N58" s="52">
        <f>+F58-H58</f>
        <v>602</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197691</v>
      </c>
      <c r="G60" s="34"/>
      <c r="H60" s="34">
        <f>SUM(H57:H59)</f>
        <v>17000</v>
      </c>
      <c r="I60" s="34"/>
      <c r="J60" s="34">
        <f>SUM(J57:J59)</f>
        <v>3501</v>
      </c>
      <c r="K60" s="34"/>
      <c r="L60" s="34">
        <f>SUM(L57:L59)</f>
        <v>0</v>
      </c>
      <c r="M60" s="34"/>
      <c r="N60" s="53">
        <f>SUM(N57:N59)</f>
        <v>184192</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-638</v>
      </c>
      <c r="G69" s="34"/>
      <c r="H69" s="34"/>
      <c r="I69" s="34"/>
      <c r="J69" s="34"/>
      <c r="K69" s="34"/>
      <c r="L69" s="34"/>
      <c r="M69" s="34"/>
      <c r="N69" s="52">
        <f>-N58</f>
        <v>-602</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0</v>
      </c>
      <c r="G71" s="34"/>
      <c r="H71" s="34">
        <v>0</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197053</v>
      </c>
      <c r="G73" s="34"/>
      <c r="H73" s="34"/>
      <c r="I73" s="34"/>
      <c r="J73" s="34"/>
      <c r="K73" s="34"/>
      <c r="L73" s="53"/>
      <c r="M73" s="34"/>
      <c r="N73" s="53">
        <f>SUM(N60:N72)</f>
        <v>183590</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+L184</f>
        <v>39507</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0</v>
      </c>
      <c r="M77" s="25"/>
      <c r="N77" s="52">
        <v>0</v>
      </c>
      <c r="O77" s="25"/>
      <c r="P77" s="5"/>
    </row>
    <row r="78" spans="1:16" ht="15.6" x14ac:dyDescent="0.3">
      <c r="A78" s="24"/>
      <c r="B78" s="25" t="s">
        <v>27</v>
      </c>
      <c r="C78" s="25"/>
      <c r="D78" s="40"/>
      <c r="E78" s="25"/>
      <c r="F78" s="121"/>
      <c r="G78" s="25"/>
      <c r="H78" s="25"/>
      <c r="I78" s="25"/>
      <c r="J78" s="25"/>
      <c r="K78" s="25"/>
      <c r="L78" s="34">
        <v>16963</v>
      </c>
      <c r="M78" s="25"/>
      <c r="N78" s="52"/>
      <c r="O78" s="25"/>
      <c r="P78" s="5"/>
    </row>
    <row r="79" spans="1:16" ht="15.6" x14ac:dyDescent="0.3">
      <c r="A79" s="24"/>
      <c r="B79" s="25" t="s">
        <v>176</v>
      </c>
      <c r="C79" s="25"/>
      <c r="D79" s="40"/>
      <c r="E79" s="25"/>
      <c r="F79" s="121"/>
      <c r="G79" s="25"/>
      <c r="H79" s="25"/>
      <c r="I79" s="25"/>
      <c r="J79" s="25"/>
      <c r="K79" s="25"/>
      <c r="L79" s="34"/>
      <c r="M79" s="25"/>
      <c r="N79" s="52">
        <f>5385+297+1962-5706-65-540</f>
        <v>1333</v>
      </c>
      <c r="O79" s="25"/>
      <c r="P79" s="5"/>
    </row>
    <row r="80" spans="1:16" ht="15.6" x14ac:dyDescent="0.3">
      <c r="A80" s="24"/>
      <c r="B80" s="25" t="s">
        <v>174</v>
      </c>
      <c r="C80" s="25"/>
      <c r="D80" s="40"/>
      <c r="E80" s="25"/>
      <c r="F80" s="121"/>
      <c r="G80" s="25"/>
      <c r="H80" s="25"/>
      <c r="I80" s="25"/>
      <c r="J80" s="25"/>
      <c r="K80" s="25"/>
      <c r="L80" s="34"/>
      <c r="M80" s="25"/>
      <c r="N80" s="52">
        <f>192+3+49</f>
        <v>244</v>
      </c>
      <c r="O80" s="25"/>
      <c r="P80" s="5"/>
    </row>
    <row r="81" spans="1:17" ht="15.6" x14ac:dyDescent="0.3">
      <c r="A81" s="24"/>
      <c r="B81" s="25" t="s">
        <v>175</v>
      </c>
      <c r="C81" s="25"/>
      <c r="D81" s="40"/>
      <c r="E81" s="25"/>
      <c r="F81" s="121"/>
      <c r="G81" s="25"/>
      <c r="H81" s="25"/>
      <c r="I81" s="25"/>
      <c r="J81" s="25"/>
      <c r="K81" s="25"/>
      <c r="L81" s="34"/>
      <c r="M81" s="25"/>
      <c r="N81" s="52">
        <v>214</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0</v>
      </c>
      <c r="O83" s="25"/>
      <c r="P83" s="5"/>
    </row>
    <row r="84" spans="1:17" ht="15.6" x14ac:dyDescent="0.3">
      <c r="A84" s="24"/>
      <c r="B84" s="25" t="s">
        <v>28</v>
      </c>
      <c r="C84" s="25"/>
      <c r="D84" s="25"/>
      <c r="E84" s="25"/>
      <c r="F84" s="25"/>
      <c r="G84" s="25"/>
      <c r="H84" s="25"/>
      <c r="I84" s="25"/>
      <c r="J84" s="25"/>
      <c r="K84" s="25"/>
      <c r="L84" s="34">
        <f>SUM(L77:L83)</f>
        <v>16963</v>
      </c>
      <c r="M84" s="25"/>
      <c r="N84" s="53">
        <f>SUM(N77:N83)</f>
        <v>1791</v>
      </c>
      <c r="O84" s="25"/>
      <c r="P84" s="5"/>
    </row>
    <row r="85" spans="1:17" ht="15.6" x14ac:dyDescent="0.3">
      <c r="A85" s="24"/>
      <c r="B85" s="25" t="s">
        <v>148</v>
      </c>
      <c r="C85" s="25"/>
      <c r="D85" s="25"/>
      <c r="E85" s="25"/>
      <c r="F85" s="25"/>
      <c r="G85" s="25"/>
      <c r="H85" s="25"/>
      <c r="I85" s="25"/>
      <c r="J85" s="25"/>
      <c r="K85" s="25"/>
      <c r="L85" s="34">
        <v>-2647</v>
      </c>
      <c r="M85" s="25"/>
      <c r="N85" s="53">
        <f>-L85</f>
        <v>2647</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244</v>
      </c>
      <c r="C87" s="25"/>
      <c r="D87" s="25"/>
      <c r="E87" s="25"/>
      <c r="F87" s="25"/>
      <c r="G87" s="25"/>
      <c r="H87" s="25"/>
      <c r="I87" s="25"/>
      <c r="J87" s="25"/>
      <c r="K87" s="25"/>
      <c r="L87" s="34"/>
      <c r="M87" s="25"/>
      <c r="N87" s="52">
        <v>0</v>
      </c>
      <c r="O87" s="25"/>
      <c r="P87" s="5"/>
    </row>
    <row r="88" spans="1:17" ht="15.6" x14ac:dyDescent="0.3">
      <c r="A88" s="24"/>
      <c r="B88" s="25" t="s">
        <v>30</v>
      </c>
      <c r="C88" s="25"/>
      <c r="D88" s="25"/>
      <c r="E88" s="25"/>
      <c r="F88" s="25"/>
      <c r="G88" s="25"/>
      <c r="H88" s="25"/>
      <c r="I88" s="25"/>
      <c r="J88" s="25"/>
      <c r="K88" s="25"/>
      <c r="L88" s="34">
        <f>L84+L86+L85</f>
        <v>14316</v>
      </c>
      <c r="M88" s="25"/>
      <c r="N88" s="53">
        <f>N84+N86+N85+N87</f>
        <v>4438</v>
      </c>
      <c r="O88" s="25"/>
      <c r="P88" s="5"/>
    </row>
    <row r="89" spans="1:17" ht="15.6" x14ac:dyDescent="0.3">
      <c r="A89" s="24"/>
      <c r="B89" s="113" t="s">
        <v>31</v>
      </c>
      <c r="C89" s="25"/>
      <c r="D89" s="25"/>
      <c r="E89" s="25"/>
      <c r="F89" s="25"/>
      <c r="G89" s="25"/>
      <c r="H89" s="25"/>
      <c r="I89" s="25"/>
      <c r="J89" s="25"/>
      <c r="K89" s="25"/>
      <c r="L89" s="34"/>
      <c r="M89" s="25"/>
      <c r="N89" s="52"/>
      <c r="O89" s="25"/>
      <c r="P89" s="5"/>
    </row>
    <row r="90" spans="1:17" ht="15.6" x14ac:dyDescent="0.3">
      <c r="A90" s="24">
        <v>1</v>
      </c>
      <c r="B90" s="25" t="s">
        <v>32</v>
      </c>
      <c r="C90" s="25"/>
      <c r="D90" s="25"/>
      <c r="E90" s="25"/>
      <c r="F90" s="25"/>
      <c r="G90" s="25"/>
      <c r="H90" s="25"/>
      <c r="I90" s="25"/>
      <c r="J90" s="25"/>
      <c r="K90" s="25"/>
      <c r="L90" s="25"/>
      <c r="M90" s="25"/>
      <c r="N90" s="52">
        <v>0</v>
      </c>
      <c r="O90" s="25"/>
      <c r="P90" s="5"/>
    </row>
    <row r="91" spans="1:17" ht="15.6" x14ac:dyDescent="0.3">
      <c r="A91" s="24">
        <f>+A90+1</f>
        <v>2</v>
      </c>
      <c r="B91" s="25" t="s">
        <v>224</v>
      </c>
      <c r="C91" s="25"/>
      <c r="D91" s="25"/>
      <c r="E91" s="25"/>
      <c r="F91" s="25"/>
      <c r="G91" s="25"/>
      <c r="H91" s="25"/>
      <c r="I91" s="25"/>
      <c r="J91" s="25"/>
      <c r="K91" s="25"/>
      <c r="L91" s="25"/>
      <c r="M91" s="25"/>
      <c r="N91" s="52">
        <v>-2</v>
      </c>
      <c r="O91" s="25"/>
      <c r="P91" s="5"/>
    </row>
    <row r="92" spans="1:17" ht="15.6" x14ac:dyDescent="0.3">
      <c r="A92" s="24">
        <f>+A91+1</f>
        <v>3</v>
      </c>
      <c r="B92" s="25" t="s">
        <v>235</v>
      </c>
      <c r="C92" s="25"/>
      <c r="D92" s="25"/>
      <c r="E92" s="25"/>
      <c r="F92" s="25"/>
      <c r="G92" s="25"/>
      <c r="H92" s="25"/>
      <c r="I92" s="25"/>
      <c r="J92" s="25"/>
      <c r="K92" s="25"/>
      <c r="L92" s="25"/>
      <c r="M92" s="25"/>
      <c r="N92" s="52">
        <f>-74-8-21-2</f>
        <v>-105</v>
      </c>
      <c r="O92" s="25"/>
      <c r="P92" s="5"/>
    </row>
    <row r="93" spans="1:17" ht="15.6" x14ac:dyDescent="0.3">
      <c r="A93" s="24" t="s">
        <v>123</v>
      </c>
      <c r="B93" s="25" t="s">
        <v>116</v>
      </c>
      <c r="C93" s="25"/>
      <c r="D93" s="25"/>
      <c r="E93" s="25"/>
      <c r="F93" s="25"/>
      <c r="G93" s="25"/>
      <c r="H93" s="25"/>
      <c r="I93" s="25"/>
      <c r="J93" s="25"/>
      <c r="K93" s="25"/>
      <c r="L93" s="25"/>
      <c r="M93" s="25"/>
      <c r="N93" s="52">
        <v>0</v>
      </c>
      <c r="O93" s="25"/>
      <c r="P93" s="5"/>
    </row>
    <row r="94" spans="1:17" ht="15.6" x14ac:dyDescent="0.3">
      <c r="A94" s="24" t="s">
        <v>124</v>
      </c>
      <c r="B94" s="25" t="s">
        <v>214</v>
      </c>
      <c r="C94" s="25"/>
      <c r="D94" s="25"/>
      <c r="E94" s="25"/>
      <c r="F94" s="25"/>
      <c r="G94" s="25"/>
      <c r="H94" s="25"/>
      <c r="I94" s="25"/>
      <c r="J94" s="25"/>
      <c r="K94" s="25"/>
      <c r="L94" s="25"/>
      <c r="M94" s="25"/>
      <c r="N94" s="52">
        <v>-3086</v>
      </c>
      <c r="O94" s="25"/>
      <c r="P94" s="5"/>
    </row>
    <row r="95" spans="1:17" ht="15.6" x14ac:dyDescent="0.3">
      <c r="A95" s="24" t="s">
        <v>140</v>
      </c>
      <c r="B95" s="25" t="s">
        <v>180</v>
      </c>
      <c r="C95" s="25"/>
      <c r="D95" s="25"/>
      <c r="E95" s="25"/>
      <c r="F95" s="25"/>
      <c r="G95" s="25"/>
      <c r="H95" s="25"/>
      <c r="I95" s="25"/>
      <c r="J95" s="25"/>
      <c r="K95" s="25"/>
      <c r="L95" s="25"/>
      <c r="M95" s="25"/>
      <c r="N95" s="52">
        <v>-2</v>
      </c>
      <c r="O95" s="25"/>
      <c r="P95" s="5"/>
    </row>
    <row r="96" spans="1:17" ht="15.6" x14ac:dyDescent="0.3">
      <c r="A96" s="24" t="s">
        <v>169</v>
      </c>
      <c r="B96" s="25" t="s">
        <v>215</v>
      </c>
      <c r="C96" s="25"/>
      <c r="D96" s="25"/>
      <c r="E96" s="25"/>
      <c r="F96" s="25"/>
      <c r="G96" s="25"/>
      <c r="H96" s="25"/>
      <c r="I96" s="25"/>
      <c r="J96" s="25"/>
      <c r="K96" s="25"/>
      <c r="L96" s="25"/>
      <c r="M96" s="25"/>
      <c r="N96" s="52">
        <v>-67</v>
      </c>
      <c r="O96" s="25"/>
      <c r="P96" s="5"/>
      <c r="Q96" s="104"/>
    </row>
    <row r="97" spans="1:17" ht="15.6" x14ac:dyDescent="0.3">
      <c r="A97" s="24" t="s">
        <v>170</v>
      </c>
      <c r="B97" s="25" t="s">
        <v>216</v>
      </c>
      <c r="C97" s="25"/>
      <c r="D97" s="25"/>
      <c r="E97" s="25"/>
      <c r="F97" s="25"/>
      <c r="G97" s="25"/>
      <c r="H97" s="25"/>
      <c r="I97" s="25"/>
      <c r="J97" s="25"/>
      <c r="K97" s="25"/>
      <c r="L97" s="25"/>
      <c r="M97" s="25"/>
      <c r="N97" s="52">
        <v>-68</v>
      </c>
      <c r="O97" s="25"/>
      <c r="P97" s="5"/>
      <c r="Q97" s="104"/>
    </row>
    <row r="98" spans="1:17" ht="15.6" x14ac:dyDescent="0.3">
      <c r="A98" s="24">
        <v>7</v>
      </c>
      <c r="B98" s="25" t="s">
        <v>33</v>
      </c>
      <c r="C98" s="25"/>
      <c r="D98" s="25"/>
      <c r="E98" s="25"/>
      <c r="F98" s="25"/>
      <c r="G98" s="25"/>
      <c r="H98" s="25"/>
      <c r="I98" s="25"/>
      <c r="J98" s="25"/>
      <c r="K98" s="25"/>
      <c r="L98" s="25"/>
      <c r="M98" s="25"/>
      <c r="N98" s="52">
        <v>-9</v>
      </c>
      <c r="O98" s="25"/>
      <c r="P98" s="5"/>
    </row>
    <row r="99" spans="1:17" ht="15.6" x14ac:dyDescent="0.3">
      <c r="A99" s="24">
        <f t="shared" ref="A99:A105" si="0">+A98+1</f>
        <v>8</v>
      </c>
      <c r="B99" s="25" t="s">
        <v>42</v>
      </c>
      <c r="C99" s="25"/>
      <c r="D99" s="25"/>
      <c r="E99" s="25"/>
      <c r="F99" s="25"/>
      <c r="G99" s="25"/>
      <c r="H99" s="25"/>
      <c r="I99" s="25"/>
      <c r="J99" s="25"/>
      <c r="K99" s="25"/>
      <c r="L99" s="34">
        <f>-N99</f>
        <v>1</v>
      </c>
      <c r="M99" s="25"/>
      <c r="N99" s="52">
        <v>-1</v>
      </c>
      <c r="O99" s="25"/>
      <c r="P99" s="5"/>
    </row>
    <row r="100" spans="1:17" ht="15.6" x14ac:dyDescent="0.3">
      <c r="A100" s="24">
        <f t="shared" si="0"/>
        <v>9</v>
      </c>
      <c r="B100" s="25" t="s">
        <v>121</v>
      </c>
      <c r="C100" s="25"/>
      <c r="D100" s="25"/>
      <c r="E100" s="25"/>
      <c r="F100" s="25"/>
      <c r="G100" s="25"/>
      <c r="H100" s="25"/>
      <c r="I100" s="25"/>
      <c r="J100" s="25"/>
      <c r="K100" s="25"/>
      <c r="L100" s="25"/>
      <c r="M100" s="25"/>
      <c r="N100" s="52">
        <v>0</v>
      </c>
      <c r="O100" s="25"/>
      <c r="P100" s="5"/>
    </row>
    <row r="101" spans="1:17" ht="15.6" x14ac:dyDescent="0.3">
      <c r="A101" s="24">
        <f t="shared" si="0"/>
        <v>10</v>
      </c>
      <c r="B101" s="25" t="s">
        <v>182</v>
      </c>
      <c r="C101" s="25"/>
      <c r="D101" s="25"/>
      <c r="E101" s="25"/>
      <c r="F101" s="25"/>
      <c r="G101" s="25"/>
      <c r="H101" s="25"/>
      <c r="I101" s="25"/>
      <c r="J101" s="25"/>
      <c r="K101" s="25"/>
      <c r="L101" s="25"/>
      <c r="M101" s="25"/>
      <c r="N101" s="52">
        <v>0</v>
      </c>
      <c r="O101" s="25"/>
      <c r="P101" s="5"/>
    </row>
    <row r="102" spans="1:17" ht="15.6" x14ac:dyDescent="0.3">
      <c r="A102" s="24">
        <f t="shared" si="0"/>
        <v>11</v>
      </c>
      <c r="B102" s="25" t="s">
        <v>34</v>
      </c>
      <c r="C102" s="25"/>
      <c r="D102" s="25"/>
      <c r="E102" s="25"/>
      <c r="F102" s="25"/>
      <c r="G102" s="25"/>
      <c r="H102" s="25"/>
      <c r="I102" s="25"/>
      <c r="J102" s="25"/>
      <c r="K102" s="25"/>
      <c r="L102" s="25"/>
      <c r="M102" s="25"/>
      <c r="N102" s="52">
        <v>0</v>
      </c>
      <c r="O102" s="25"/>
      <c r="P102" s="5"/>
    </row>
    <row r="103" spans="1:17" ht="15.6" x14ac:dyDescent="0.3">
      <c r="A103" s="24">
        <f t="shared" si="0"/>
        <v>12</v>
      </c>
      <c r="B103" s="25" t="s">
        <v>181</v>
      </c>
      <c r="C103" s="25"/>
      <c r="D103" s="25"/>
      <c r="E103" s="25"/>
      <c r="F103" s="25"/>
      <c r="G103" s="25"/>
      <c r="H103" s="25"/>
      <c r="I103" s="25"/>
      <c r="J103" s="25"/>
      <c r="K103" s="25"/>
      <c r="L103" s="25"/>
      <c r="M103" s="25"/>
      <c r="N103" s="52">
        <v>0</v>
      </c>
      <c r="O103" s="25"/>
      <c r="P103" s="5"/>
    </row>
    <row r="104" spans="1:17" ht="15.6" x14ac:dyDescent="0.3">
      <c r="A104" s="24">
        <f t="shared" si="0"/>
        <v>13</v>
      </c>
      <c r="B104" s="25" t="s">
        <v>139</v>
      </c>
      <c r="C104" s="25"/>
      <c r="D104" s="25"/>
      <c r="E104" s="25"/>
      <c r="F104" s="25"/>
      <c r="G104" s="25"/>
      <c r="H104" s="25"/>
      <c r="I104" s="25"/>
      <c r="J104" s="25"/>
      <c r="K104" s="25"/>
      <c r="L104" s="25"/>
      <c r="M104" s="25"/>
      <c r="N104" s="52">
        <v>-74</v>
      </c>
      <c r="O104" s="25"/>
      <c r="P104" s="5"/>
    </row>
    <row r="105" spans="1:17" ht="15.6" x14ac:dyDescent="0.3">
      <c r="A105" s="24">
        <f t="shared" si="0"/>
        <v>14</v>
      </c>
      <c r="B105" s="25" t="s">
        <v>122</v>
      </c>
      <c r="C105" s="25"/>
      <c r="D105" s="25"/>
      <c r="E105" s="25"/>
      <c r="F105" s="25"/>
      <c r="G105" s="25"/>
      <c r="H105" s="25"/>
      <c r="I105" s="25"/>
      <c r="J105" s="25"/>
      <c r="K105" s="25"/>
      <c r="L105" s="25"/>
      <c r="M105" s="25"/>
      <c r="N105" s="52">
        <f>-N88-SUM(N90:N104)</f>
        <v>-1024</v>
      </c>
      <c r="O105" s="25"/>
      <c r="P105" s="5"/>
    </row>
    <row r="106" spans="1:17" ht="15.6" x14ac:dyDescent="0.3">
      <c r="A106" s="24"/>
      <c r="B106" s="113" t="s">
        <v>35</v>
      </c>
      <c r="C106" s="25"/>
      <c r="D106" s="25"/>
      <c r="E106" s="25"/>
      <c r="F106" s="25"/>
      <c r="G106" s="25"/>
      <c r="H106" s="25"/>
      <c r="I106" s="25"/>
      <c r="J106" s="25"/>
      <c r="K106" s="25"/>
      <c r="L106" s="25"/>
      <c r="M106" s="25"/>
      <c r="N106" s="57"/>
      <c r="O106" s="25"/>
      <c r="P106" s="5"/>
    </row>
    <row r="107" spans="1:17" ht="15.6" x14ac:dyDescent="0.3">
      <c r="A107" s="24"/>
      <c r="B107" s="25" t="s">
        <v>160</v>
      </c>
      <c r="C107" s="25"/>
      <c r="D107" s="25"/>
      <c r="E107" s="25"/>
      <c r="F107" s="25"/>
      <c r="G107" s="25"/>
      <c r="H107" s="25"/>
      <c r="I107" s="25"/>
      <c r="J107" s="25"/>
      <c r="K107" s="25"/>
      <c r="L107" s="34">
        <v>0</v>
      </c>
      <c r="M107" s="34"/>
      <c r="N107" s="52"/>
      <c r="O107" s="25"/>
      <c r="P107" s="5"/>
    </row>
    <row r="108" spans="1:17" ht="15.6" x14ac:dyDescent="0.3">
      <c r="A108" s="24"/>
      <c r="B108" s="25" t="s">
        <v>161</v>
      </c>
      <c r="C108" s="25"/>
      <c r="D108" s="25"/>
      <c r="E108" s="25"/>
      <c r="F108" s="25"/>
      <c r="G108" s="25"/>
      <c r="H108" s="25"/>
      <c r="I108" s="25"/>
      <c r="J108" s="25"/>
      <c r="K108" s="25"/>
      <c r="L108" s="34">
        <v>-854</v>
      </c>
      <c r="M108" s="34"/>
      <c r="N108" s="52"/>
      <c r="O108" s="25"/>
      <c r="P108" s="5"/>
    </row>
    <row r="109" spans="1:17" ht="15.6" x14ac:dyDescent="0.3">
      <c r="A109" s="24"/>
      <c r="B109" s="25" t="s">
        <v>200</v>
      </c>
      <c r="C109" s="25"/>
      <c r="D109" s="25"/>
      <c r="E109" s="25"/>
      <c r="F109" s="25"/>
      <c r="G109" s="25"/>
      <c r="H109" s="25"/>
      <c r="I109" s="25"/>
      <c r="J109" s="25"/>
      <c r="K109" s="25"/>
      <c r="L109" s="34">
        <v>-13463</v>
      </c>
      <c r="M109" s="34"/>
      <c r="N109" s="52"/>
      <c r="O109" s="25"/>
      <c r="P109" s="5"/>
    </row>
    <row r="110" spans="1:17" ht="15.6" x14ac:dyDescent="0.3">
      <c r="A110" s="24"/>
      <c r="B110" s="25" t="s">
        <v>201</v>
      </c>
      <c r="C110" s="25"/>
      <c r="D110" s="25"/>
      <c r="E110" s="25"/>
      <c r="F110" s="25"/>
      <c r="G110" s="25"/>
      <c r="H110" s="25"/>
      <c r="I110" s="25"/>
      <c r="J110" s="25"/>
      <c r="K110" s="25"/>
      <c r="L110" s="34">
        <v>0</v>
      </c>
      <c r="M110" s="34"/>
      <c r="N110" s="52"/>
      <c r="O110" s="25"/>
      <c r="P110" s="5"/>
    </row>
    <row r="111" spans="1:17" ht="15.6" x14ac:dyDescent="0.3">
      <c r="A111" s="24"/>
      <c r="B111" s="25" t="s">
        <v>202</v>
      </c>
      <c r="C111" s="25"/>
      <c r="D111" s="25"/>
      <c r="E111" s="25"/>
      <c r="F111" s="25"/>
      <c r="G111" s="25"/>
      <c r="H111" s="25"/>
      <c r="I111" s="25"/>
      <c r="J111" s="25"/>
      <c r="K111" s="25"/>
      <c r="L111" s="34">
        <v>0</v>
      </c>
      <c r="M111" s="34"/>
      <c r="N111" s="52"/>
      <c r="O111" s="25"/>
      <c r="P111" s="5"/>
    </row>
    <row r="112" spans="1:17" ht="15.6" x14ac:dyDescent="0.3">
      <c r="A112" s="24"/>
      <c r="B112" s="25" t="s">
        <v>36</v>
      </c>
      <c r="C112" s="25"/>
      <c r="D112" s="25"/>
      <c r="E112" s="25"/>
      <c r="F112" s="25"/>
      <c r="G112" s="25"/>
      <c r="H112" s="25"/>
      <c r="I112" s="25"/>
      <c r="J112" s="25"/>
      <c r="K112" s="25"/>
      <c r="L112" s="34">
        <f>SUM(L107:L111)</f>
        <v>-14317</v>
      </c>
      <c r="M112" s="34"/>
      <c r="N112" s="34">
        <f>SUM(N89:N110)</f>
        <v>-4438</v>
      </c>
      <c r="O112" s="25"/>
      <c r="P112" s="5"/>
    </row>
    <row r="113" spans="1:17" ht="15.6" x14ac:dyDescent="0.3">
      <c r="A113" s="24"/>
      <c r="B113" s="25" t="s">
        <v>37</v>
      </c>
      <c r="C113" s="25"/>
      <c r="D113" s="25"/>
      <c r="E113" s="25"/>
      <c r="F113" s="25"/>
      <c r="G113" s="25"/>
      <c r="H113" s="25"/>
      <c r="I113" s="25"/>
      <c r="J113" s="25"/>
      <c r="K113" s="25"/>
      <c r="L113" s="34">
        <f>L88+L112+L99</f>
        <v>0</v>
      </c>
      <c r="M113" s="34"/>
      <c r="N113" s="34">
        <f>N88+N112</f>
        <v>0</v>
      </c>
      <c r="O113" s="25"/>
      <c r="P113" s="5"/>
    </row>
    <row r="114" spans="1:17" ht="15.6" x14ac:dyDescent="0.3">
      <c r="A114" s="24"/>
      <c r="B114" s="25"/>
      <c r="C114" s="25"/>
      <c r="D114" s="25"/>
      <c r="E114" s="25"/>
      <c r="F114" s="25"/>
      <c r="G114" s="25"/>
      <c r="H114" s="25"/>
      <c r="I114" s="25"/>
      <c r="J114" s="25"/>
      <c r="K114" s="25"/>
      <c r="L114" s="34"/>
      <c r="M114" s="34"/>
      <c r="N114" s="34"/>
      <c r="O114" s="25"/>
      <c r="P114" s="5"/>
    </row>
    <row r="115" spans="1:17" ht="15.6" x14ac:dyDescent="0.3">
      <c r="A115" s="6"/>
      <c r="B115" s="8"/>
      <c r="C115" s="8"/>
      <c r="D115" s="8"/>
      <c r="E115" s="8"/>
      <c r="F115" s="8"/>
      <c r="G115" s="8"/>
      <c r="H115" s="8"/>
      <c r="I115" s="8"/>
      <c r="J115" s="8"/>
      <c r="K115" s="8"/>
      <c r="L115" s="8"/>
      <c r="M115" s="8"/>
      <c r="N115" s="51"/>
      <c r="O115" s="8"/>
      <c r="P115" s="5"/>
    </row>
    <row r="116" spans="1:17" ht="18" thickBot="1" x14ac:dyDescent="0.35">
      <c r="A116" s="96"/>
      <c r="B116" s="97" t="str">
        <f>B52</f>
        <v>FF7 INVESTOR REPORT QUARTER ENDING FEBRUARY 2008</v>
      </c>
      <c r="C116" s="98"/>
      <c r="D116" s="98"/>
      <c r="E116" s="98"/>
      <c r="F116" s="98"/>
      <c r="G116" s="98"/>
      <c r="H116" s="98"/>
      <c r="I116" s="98"/>
      <c r="J116" s="98"/>
      <c r="K116" s="98"/>
      <c r="L116" s="98"/>
      <c r="M116" s="98"/>
      <c r="N116" s="101"/>
      <c r="O116" s="100"/>
      <c r="P116" s="5"/>
    </row>
    <row r="117" spans="1:17" ht="15.6" x14ac:dyDescent="0.3">
      <c r="A117" s="2"/>
      <c r="B117" s="58" t="s">
        <v>38</v>
      </c>
      <c r="C117" s="4"/>
      <c r="D117" s="4"/>
      <c r="E117" s="4"/>
      <c r="F117" s="4"/>
      <c r="G117" s="4"/>
      <c r="H117" s="4"/>
      <c r="I117" s="4"/>
      <c r="J117" s="4"/>
      <c r="K117" s="4"/>
      <c r="L117" s="4"/>
      <c r="M117" s="4"/>
      <c r="N117" s="49"/>
      <c r="O117" s="4"/>
      <c r="P117" s="5"/>
    </row>
    <row r="118" spans="1:17" ht="15.6" x14ac:dyDescent="0.3">
      <c r="A118" s="6"/>
      <c r="B118" s="21"/>
      <c r="C118" s="8"/>
      <c r="D118" s="8"/>
      <c r="E118" s="8"/>
      <c r="F118" s="8"/>
      <c r="G118" s="8"/>
      <c r="H118" s="8"/>
      <c r="I118" s="8"/>
      <c r="J118" s="8"/>
      <c r="K118" s="8"/>
      <c r="L118" s="8"/>
      <c r="M118" s="8"/>
      <c r="N118" s="51"/>
      <c r="O118" s="8"/>
      <c r="P118" s="5"/>
    </row>
    <row r="119" spans="1:17" ht="15.6" x14ac:dyDescent="0.3">
      <c r="A119" s="6"/>
      <c r="B119" s="114" t="s">
        <v>39</v>
      </c>
      <c r="C119" s="8"/>
      <c r="D119" s="8"/>
      <c r="E119" s="8"/>
      <c r="F119" s="8"/>
      <c r="G119" s="8"/>
      <c r="H119" s="8"/>
      <c r="I119" s="8"/>
      <c r="J119" s="8"/>
      <c r="K119" s="8"/>
      <c r="L119" s="8"/>
      <c r="M119" s="8"/>
      <c r="N119" s="51"/>
      <c r="O119" s="8"/>
      <c r="P119" s="5"/>
    </row>
    <row r="120" spans="1:17" ht="15.6" x14ac:dyDescent="0.3">
      <c r="A120" s="24"/>
      <c r="B120" s="25" t="s">
        <v>40</v>
      </c>
      <c r="C120" s="25"/>
      <c r="D120" s="25"/>
      <c r="E120" s="25"/>
      <c r="F120" s="25"/>
      <c r="G120" s="25"/>
      <c r="H120" s="25"/>
      <c r="I120" s="25"/>
      <c r="J120" s="25"/>
      <c r="K120" s="25"/>
      <c r="L120" s="25"/>
      <c r="M120" s="25"/>
      <c r="N120" s="52">
        <f>N28*0.003</f>
        <v>805.80000000000007</v>
      </c>
      <c r="O120" s="25"/>
      <c r="P120" s="5"/>
    </row>
    <row r="121" spans="1:17" ht="15.6" x14ac:dyDescent="0.3">
      <c r="A121" s="24"/>
      <c r="B121" s="25" t="s">
        <v>41</v>
      </c>
      <c r="C121" s="25"/>
      <c r="D121" s="25"/>
      <c r="E121" s="25"/>
      <c r="F121" s="25"/>
      <c r="G121" s="25"/>
      <c r="H121" s="25"/>
      <c r="I121" s="25"/>
      <c r="J121" s="25"/>
      <c r="K121" s="25"/>
      <c r="L121" s="25"/>
      <c r="M121" s="25"/>
      <c r="N121" s="52">
        <v>806</v>
      </c>
      <c r="O121" s="25"/>
      <c r="P121" s="5"/>
    </row>
    <row r="122" spans="1:17" ht="15.6" x14ac:dyDescent="0.3">
      <c r="A122" s="24"/>
      <c r="B122" s="25" t="s">
        <v>132</v>
      </c>
      <c r="C122" s="25"/>
      <c r="D122" s="25"/>
      <c r="E122" s="25"/>
      <c r="F122" s="25"/>
      <c r="G122" s="25"/>
      <c r="H122" s="25"/>
      <c r="I122" s="25"/>
      <c r="J122" s="25"/>
      <c r="K122" s="25"/>
      <c r="L122" s="25"/>
      <c r="M122" s="25"/>
      <c r="N122" s="52">
        <v>0</v>
      </c>
      <c r="O122" s="25"/>
      <c r="P122" s="5"/>
    </row>
    <row r="123" spans="1:17" ht="15.6" x14ac:dyDescent="0.3">
      <c r="A123" s="24"/>
      <c r="B123" s="25" t="s">
        <v>221</v>
      </c>
      <c r="C123" s="25"/>
      <c r="D123" s="25"/>
      <c r="E123" s="25"/>
      <c r="F123" s="25"/>
      <c r="G123" s="25"/>
      <c r="H123" s="25"/>
      <c r="I123" s="25"/>
      <c r="J123" s="25"/>
      <c r="K123" s="25"/>
      <c r="L123" s="25"/>
      <c r="M123" s="25"/>
      <c r="N123" s="52">
        <v>0</v>
      </c>
      <c r="O123" s="25"/>
      <c r="P123" s="5"/>
    </row>
    <row r="124" spans="1:17" ht="15.6" x14ac:dyDescent="0.3">
      <c r="A124" s="24"/>
      <c r="B124" s="25" t="s">
        <v>222</v>
      </c>
      <c r="C124" s="25"/>
      <c r="D124" s="25"/>
      <c r="E124" s="25"/>
      <c r="F124" s="25"/>
      <c r="G124" s="25"/>
      <c r="H124" s="25"/>
      <c r="I124" s="25"/>
      <c r="J124" s="25"/>
      <c r="K124" s="25"/>
      <c r="L124" s="25"/>
      <c r="M124" s="25"/>
      <c r="N124" s="52">
        <v>0</v>
      </c>
      <c r="O124" s="25"/>
      <c r="P124" s="5"/>
    </row>
    <row r="125" spans="1:17" ht="15.6" x14ac:dyDescent="0.3">
      <c r="A125" s="24"/>
      <c r="B125" s="25" t="s">
        <v>223</v>
      </c>
      <c r="C125" s="25"/>
      <c r="D125" s="25"/>
      <c r="E125" s="25"/>
      <c r="F125" s="25"/>
      <c r="G125" s="25"/>
      <c r="H125" s="25"/>
      <c r="I125" s="25"/>
      <c r="J125" s="25"/>
      <c r="K125" s="25"/>
      <c r="L125" s="25"/>
      <c r="M125" s="25"/>
      <c r="N125" s="52">
        <v>0</v>
      </c>
      <c r="O125" s="25"/>
      <c r="P125" s="5"/>
    </row>
    <row r="126" spans="1:17" ht="15.6" x14ac:dyDescent="0.3">
      <c r="A126" s="24"/>
      <c r="B126" s="25" t="s">
        <v>42</v>
      </c>
      <c r="C126" s="25"/>
      <c r="D126" s="25"/>
      <c r="E126" s="25"/>
      <c r="F126" s="25"/>
      <c r="G126" s="25"/>
      <c r="H126" s="25"/>
      <c r="I126" s="25"/>
      <c r="J126" s="25"/>
      <c r="K126" s="25"/>
      <c r="L126" s="25"/>
      <c r="M126" s="25"/>
      <c r="N126" s="52">
        <v>0</v>
      </c>
      <c r="O126" s="25"/>
      <c r="P126" s="5"/>
    </row>
    <row r="127" spans="1:17" ht="15.6" x14ac:dyDescent="0.3">
      <c r="A127" s="24"/>
      <c r="B127" s="25" t="s">
        <v>125</v>
      </c>
      <c r="C127" s="25"/>
      <c r="D127" s="25"/>
      <c r="E127" s="25"/>
      <c r="F127" s="25"/>
      <c r="G127" s="25"/>
      <c r="H127" s="25"/>
      <c r="I127" s="25"/>
      <c r="J127" s="25"/>
      <c r="K127" s="25"/>
      <c r="L127" s="25"/>
      <c r="M127" s="25"/>
      <c r="N127" s="52">
        <v>0</v>
      </c>
      <c r="O127" s="25"/>
      <c r="P127" s="5"/>
    </row>
    <row r="128" spans="1:17" ht="15.6" x14ac:dyDescent="0.3">
      <c r="A128" s="24"/>
      <c r="B128" s="25" t="s">
        <v>225</v>
      </c>
      <c r="C128" s="25"/>
      <c r="D128" s="25"/>
      <c r="E128" s="25"/>
      <c r="F128" s="25"/>
      <c r="G128" s="25"/>
      <c r="H128" s="25"/>
      <c r="I128" s="25"/>
      <c r="J128" s="25"/>
      <c r="K128" s="25"/>
      <c r="L128" s="25"/>
      <c r="M128" s="25"/>
      <c r="N128" s="52">
        <v>0</v>
      </c>
      <c r="O128" s="25"/>
      <c r="P128" s="5"/>
      <c r="Q128" s="104"/>
    </row>
    <row r="129" spans="1:16" ht="15.6" x14ac:dyDescent="0.3">
      <c r="A129" s="24"/>
      <c r="B129" s="25" t="s">
        <v>43</v>
      </c>
      <c r="C129" s="25"/>
      <c r="D129" s="25"/>
      <c r="E129" s="25"/>
      <c r="F129" s="25"/>
      <c r="G129" s="25"/>
      <c r="H129" s="25"/>
      <c r="I129" s="25"/>
      <c r="J129" s="25"/>
      <c r="K129" s="25"/>
      <c r="L129" s="25"/>
      <c r="M129" s="25"/>
      <c r="N129" s="52">
        <f>SUM(N121:N128)</f>
        <v>806</v>
      </c>
      <c r="O129" s="25"/>
      <c r="P129" s="5"/>
    </row>
    <row r="130" spans="1:16" ht="15.6" x14ac:dyDescent="0.3">
      <c r="A130" s="24"/>
      <c r="B130" s="25"/>
      <c r="C130" s="25"/>
      <c r="D130" s="25"/>
      <c r="E130" s="25"/>
      <c r="F130" s="25"/>
      <c r="G130" s="25"/>
      <c r="H130" s="25"/>
      <c r="I130" s="25"/>
      <c r="J130" s="25"/>
      <c r="K130" s="25"/>
      <c r="L130" s="25"/>
      <c r="M130" s="25"/>
      <c r="N130" s="52"/>
      <c r="O130" s="25"/>
      <c r="P130" s="5"/>
    </row>
    <row r="131" spans="1:16" ht="15.6" x14ac:dyDescent="0.3">
      <c r="A131" s="24"/>
      <c r="B131" s="130" t="s">
        <v>179</v>
      </c>
      <c r="C131" s="25"/>
      <c r="D131" s="25"/>
      <c r="E131" s="25"/>
      <c r="F131" s="25"/>
      <c r="G131" s="25"/>
      <c r="H131" s="25"/>
      <c r="I131" s="25"/>
      <c r="J131" s="25"/>
      <c r="K131" s="25"/>
      <c r="L131" s="25"/>
      <c r="M131" s="25"/>
      <c r="N131" s="52"/>
      <c r="O131" s="25"/>
      <c r="P131" s="5"/>
    </row>
    <row r="132" spans="1:16" ht="15.6" x14ac:dyDescent="0.3">
      <c r="A132" s="24"/>
      <c r="B132" s="25" t="s">
        <v>144</v>
      </c>
      <c r="C132" s="25"/>
      <c r="D132" s="25"/>
      <c r="E132" s="25"/>
      <c r="F132" s="25"/>
      <c r="G132" s="25"/>
      <c r="H132" s="25"/>
      <c r="I132" s="25"/>
      <c r="J132" s="25"/>
      <c r="K132" s="25"/>
      <c r="L132" s="25"/>
      <c r="M132" s="25"/>
      <c r="N132" s="52">
        <v>7098</v>
      </c>
      <c r="O132" s="25"/>
      <c r="P132" s="5"/>
    </row>
    <row r="133" spans="1:16" ht="15.6" x14ac:dyDescent="0.3">
      <c r="A133" s="24"/>
      <c r="B133" s="25" t="s">
        <v>159</v>
      </c>
      <c r="C133" s="25"/>
      <c r="D133" s="25"/>
      <c r="E133" s="25"/>
      <c r="F133" s="25"/>
      <c r="G133" s="25"/>
      <c r="H133" s="25"/>
      <c r="I133" s="25"/>
      <c r="J133" s="25"/>
      <c r="K133" s="25"/>
      <c r="L133" s="25"/>
      <c r="M133" s="25"/>
      <c r="N133" s="52">
        <v>0</v>
      </c>
      <c r="O133" s="25"/>
      <c r="P133" s="5"/>
    </row>
    <row r="134" spans="1:16" ht="15.6" x14ac:dyDescent="0.3">
      <c r="A134" s="24"/>
      <c r="B134" s="25" t="s">
        <v>183</v>
      </c>
      <c r="C134" s="25"/>
      <c r="D134" s="25"/>
      <c r="E134" s="25"/>
      <c r="F134" s="25"/>
      <c r="G134" s="25"/>
      <c r="H134" s="25"/>
      <c r="I134" s="25"/>
      <c r="J134" s="25"/>
      <c r="K134" s="25"/>
      <c r="L134" s="25"/>
      <c r="M134" s="25"/>
      <c r="N134" s="52">
        <v>5234</v>
      </c>
      <c r="O134" s="25"/>
      <c r="P134" s="5"/>
    </row>
    <row r="135" spans="1:16" ht="15.6" x14ac:dyDescent="0.3">
      <c r="A135" s="24"/>
      <c r="B135" s="25"/>
      <c r="C135" s="25"/>
      <c r="D135" s="25"/>
      <c r="E135" s="25"/>
      <c r="F135" s="25"/>
      <c r="G135" s="25"/>
      <c r="H135" s="25"/>
      <c r="I135" s="25"/>
      <c r="J135" s="25"/>
      <c r="K135" s="25"/>
      <c r="L135" s="25"/>
      <c r="M135" s="25"/>
      <c r="N135" s="52"/>
      <c r="O135" s="25"/>
      <c r="P135" s="5"/>
    </row>
    <row r="136" spans="1:16" ht="15.6" x14ac:dyDescent="0.3">
      <c r="A136" s="24"/>
      <c r="B136" s="25"/>
      <c r="C136" s="25"/>
      <c r="D136" s="25"/>
      <c r="E136" s="25"/>
      <c r="F136" s="25"/>
      <c r="G136" s="25"/>
      <c r="H136" s="25"/>
      <c r="I136" s="25"/>
      <c r="J136" s="25"/>
      <c r="K136" s="25"/>
      <c r="L136" s="25"/>
      <c r="M136" s="25"/>
      <c r="N136" s="59"/>
      <c r="O136" s="25"/>
      <c r="P136" s="5"/>
    </row>
    <row r="137" spans="1:16" ht="15.6" x14ac:dyDescent="0.3">
      <c r="A137" s="6"/>
      <c r="B137" s="114" t="s">
        <v>22</v>
      </c>
      <c r="C137" s="8"/>
      <c r="D137" s="8"/>
      <c r="E137" s="8"/>
      <c r="F137" s="8"/>
      <c r="G137" s="8"/>
      <c r="H137" s="8"/>
      <c r="I137" s="8"/>
      <c r="J137" s="8"/>
      <c r="K137" s="8"/>
      <c r="L137" s="8"/>
      <c r="M137" s="8"/>
      <c r="N137" s="51"/>
      <c r="O137" s="8"/>
      <c r="P137" s="5"/>
    </row>
    <row r="138" spans="1:16" ht="15.6" x14ac:dyDescent="0.3">
      <c r="A138" s="24"/>
      <c r="B138" s="25" t="s">
        <v>44</v>
      </c>
      <c r="C138" s="25"/>
      <c r="D138" s="25"/>
      <c r="E138" s="25"/>
      <c r="F138" s="25"/>
      <c r="G138" s="25"/>
      <c r="H138" s="25"/>
      <c r="I138" s="25"/>
      <c r="J138" s="25"/>
      <c r="K138" s="25"/>
      <c r="L138" s="25"/>
      <c r="M138" s="25"/>
      <c r="N138" s="57" t="s">
        <v>117</v>
      </c>
      <c r="O138" s="25"/>
      <c r="P138" s="5"/>
    </row>
    <row r="139" spans="1:16" ht="15.6" x14ac:dyDescent="0.3">
      <c r="A139" s="24"/>
      <c r="B139" s="25" t="s">
        <v>45</v>
      </c>
      <c r="C139" s="175"/>
      <c r="D139" s="175"/>
      <c r="E139" s="175"/>
      <c r="F139" s="175"/>
      <c r="G139" s="175"/>
      <c r="H139" s="175"/>
      <c r="I139" s="175"/>
      <c r="J139" s="175"/>
      <c r="K139" s="175"/>
      <c r="L139" s="175"/>
      <c r="M139" s="175"/>
      <c r="N139" s="57" t="s">
        <v>117</v>
      </c>
      <c r="O139" s="25"/>
      <c r="P139" s="5"/>
    </row>
    <row r="140" spans="1:16" ht="15.6" x14ac:dyDescent="0.3">
      <c r="A140" s="24"/>
      <c r="B140" s="25" t="s">
        <v>46</v>
      </c>
      <c r="C140" s="25"/>
      <c r="D140" s="25"/>
      <c r="E140" s="25"/>
      <c r="F140" s="25"/>
      <c r="G140" s="25"/>
      <c r="H140" s="25"/>
      <c r="I140" s="25"/>
      <c r="J140" s="25"/>
      <c r="K140" s="25"/>
      <c r="L140" s="25"/>
      <c r="M140" s="25"/>
      <c r="N140" s="57" t="s">
        <v>117</v>
      </c>
      <c r="O140" s="25"/>
      <c r="P140" s="5"/>
    </row>
    <row r="141" spans="1:16" ht="15.6" x14ac:dyDescent="0.3">
      <c r="A141" s="24"/>
      <c r="B141" s="25" t="s">
        <v>47</v>
      </c>
      <c r="C141" s="25"/>
      <c r="D141" s="25"/>
      <c r="E141" s="25"/>
      <c r="F141" s="25"/>
      <c r="G141" s="25"/>
      <c r="H141" s="25"/>
      <c r="I141" s="25"/>
      <c r="J141" s="25"/>
      <c r="K141" s="25"/>
      <c r="L141" s="25"/>
      <c r="M141" s="25"/>
      <c r="N141" s="57" t="s">
        <v>117</v>
      </c>
      <c r="O141" s="25"/>
      <c r="P141" s="5"/>
    </row>
    <row r="142" spans="1:16" ht="15.6" x14ac:dyDescent="0.3">
      <c r="A142" s="24"/>
      <c r="B142" s="25"/>
      <c r="C142" s="25"/>
      <c r="D142" s="25"/>
      <c r="E142" s="25"/>
      <c r="F142" s="25"/>
      <c r="G142" s="25"/>
      <c r="H142" s="25"/>
      <c r="I142" s="25"/>
      <c r="J142" s="25"/>
      <c r="K142" s="25"/>
      <c r="L142" s="25"/>
      <c r="M142" s="25"/>
      <c r="N142" s="59"/>
      <c r="O142" s="25"/>
      <c r="P142" s="5"/>
    </row>
    <row r="143" spans="1:16" ht="15.6" x14ac:dyDescent="0.3">
      <c r="A143" s="6"/>
      <c r="B143" s="114" t="s">
        <v>48</v>
      </c>
      <c r="C143" s="8"/>
      <c r="D143" s="8"/>
      <c r="E143" s="8"/>
      <c r="F143" s="8"/>
      <c r="G143" s="8"/>
      <c r="H143" s="8"/>
      <c r="I143" s="8"/>
      <c r="J143" s="8"/>
      <c r="K143" s="8"/>
      <c r="L143" s="8"/>
      <c r="M143" s="8"/>
      <c r="N143" s="61"/>
      <c r="O143" s="8"/>
      <c r="P143" s="5"/>
    </row>
    <row r="144" spans="1:16" ht="15.6" x14ac:dyDescent="0.3">
      <c r="A144" s="24"/>
      <c r="B144" s="25" t="s">
        <v>49</v>
      </c>
      <c r="C144" s="25"/>
      <c r="D144" s="25"/>
      <c r="E144" s="25"/>
      <c r="F144" s="25"/>
      <c r="G144" s="25"/>
      <c r="H144" s="25"/>
      <c r="I144" s="25"/>
      <c r="J144" s="25"/>
      <c r="K144" s="25"/>
      <c r="L144" s="25"/>
      <c r="M144" s="25"/>
      <c r="N144" s="52">
        <v>0</v>
      </c>
      <c r="O144" s="25"/>
      <c r="P144" s="5"/>
    </row>
    <row r="145" spans="1:256" ht="15.6" x14ac:dyDescent="0.3">
      <c r="A145" s="24"/>
      <c r="B145" s="25" t="s">
        <v>50</v>
      </c>
      <c r="C145" s="25"/>
      <c r="D145" s="25"/>
      <c r="E145" s="25"/>
      <c r="F145" s="25"/>
      <c r="G145" s="25"/>
      <c r="H145" s="25"/>
      <c r="I145" s="25"/>
      <c r="J145" s="25"/>
      <c r="K145" s="25"/>
      <c r="L145" s="25"/>
      <c r="M145" s="25"/>
      <c r="N145" s="52">
        <v>1</v>
      </c>
      <c r="O145" s="25"/>
      <c r="P145" s="5"/>
    </row>
    <row r="146" spans="1:256" ht="15.6" x14ac:dyDescent="0.3">
      <c r="A146" s="24"/>
      <c r="B146" s="25" t="s">
        <v>51</v>
      </c>
      <c r="C146" s="25"/>
      <c r="D146" s="25"/>
      <c r="E146" s="25"/>
      <c r="F146" s="25"/>
      <c r="G146" s="25"/>
      <c r="H146" s="25"/>
      <c r="I146" s="25"/>
      <c r="J146" s="25"/>
      <c r="K146" s="25"/>
      <c r="L146" s="25"/>
      <c r="M146" s="25"/>
      <c r="N146" s="52">
        <f>N145+N144</f>
        <v>1</v>
      </c>
      <c r="O146" s="25"/>
      <c r="P146" s="5"/>
    </row>
    <row r="147" spans="1:256" ht="15.6" x14ac:dyDescent="0.3">
      <c r="A147" s="24"/>
      <c r="B147" s="25" t="s">
        <v>264</v>
      </c>
      <c r="C147" s="25"/>
      <c r="D147" s="25"/>
      <c r="E147" s="25"/>
      <c r="F147" s="25"/>
      <c r="G147" s="25"/>
      <c r="H147" s="25"/>
      <c r="I147" s="25"/>
      <c r="J147" s="25"/>
      <c r="K147" s="25"/>
      <c r="L147" s="25"/>
      <c r="M147" s="25"/>
      <c r="N147" s="52">
        <v>-1</v>
      </c>
      <c r="O147" s="25"/>
      <c r="P147" s="5"/>
    </row>
    <row r="148" spans="1:256" ht="15.6" x14ac:dyDescent="0.3">
      <c r="A148" s="24"/>
      <c r="B148" s="25" t="s">
        <v>52</v>
      </c>
      <c r="C148" s="25"/>
      <c r="D148" s="25"/>
      <c r="E148" s="25"/>
      <c r="F148" s="25"/>
      <c r="G148" s="25"/>
      <c r="H148" s="25"/>
      <c r="I148" s="25"/>
      <c r="J148" s="25"/>
      <c r="K148" s="25"/>
      <c r="L148" s="25"/>
      <c r="M148" s="25"/>
      <c r="N148" s="52">
        <f>N146+N147</f>
        <v>0</v>
      </c>
      <c r="O148" s="25"/>
      <c r="P148" s="5"/>
    </row>
    <row r="149" spans="1:256" ht="16.2" thickBot="1" x14ac:dyDescent="0.35">
      <c r="A149" s="24"/>
      <c r="B149" s="25"/>
      <c r="C149" s="25"/>
      <c r="D149" s="25"/>
      <c r="E149" s="25"/>
      <c r="F149" s="25"/>
      <c r="G149" s="25"/>
      <c r="H149" s="25"/>
      <c r="I149" s="25"/>
      <c r="J149" s="25"/>
      <c r="K149" s="25"/>
      <c r="L149" s="25"/>
      <c r="M149" s="25"/>
      <c r="N149" s="59"/>
      <c r="O149" s="25"/>
      <c r="P149" s="5"/>
    </row>
    <row r="150" spans="1:256" ht="15.6" x14ac:dyDescent="0.3">
      <c r="A150" s="2"/>
      <c r="B150" s="4"/>
      <c r="C150" s="4"/>
      <c r="D150" s="4"/>
      <c r="E150" s="4"/>
      <c r="F150" s="4"/>
      <c r="G150" s="4"/>
      <c r="H150" s="4"/>
      <c r="I150" s="4"/>
      <c r="J150" s="4"/>
      <c r="K150" s="4"/>
      <c r="L150" s="4"/>
      <c r="M150" s="4"/>
      <c r="N150" s="49"/>
      <c r="O150" s="4"/>
      <c r="P150" s="5"/>
    </row>
    <row r="151" spans="1:256" ht="15.6" x14ac:dyDescent="0.3">
      <c r="A151" s="6"/>
      <c r="B151" s="114" t="s">
        <v>53</v>
      </c>
      <c r="C151" s="8"/>
      <c r="D151" s="8"/>
      <c r="E151" s="8"/>
      <c r="F151" s="8"/>
      <c r="G151" s="8"/>
      <c r="H151" s="8"/>
      <c r="I151" s="8"/>
      <c r="J151" s="8"/>
      <c r="K151" s="8"/>
      <c r="L151" s="8"/>
      <c r="M151" s="8"/>
      <c r="N151" s="51"/>
      <c r="O151" s="8"/>
      <c r="P151" s="5"/>
    </row>
    <row r="152" spans="1:256" ht="15.6" x14ac:dyDescent="0.3">
      <c r="A152" s="6"/>
      <c r="B152" s="21"/>
      <c r="C152" s="8"/>
      <c r="D152" s="8"/>
      <c r="E152" s="8"/>
      <c r="F152" s="8"/>
      <c r="G152" s="8"/>
      <c r="H152" s="8"/>
      <c r="I152" s="8"/>
      <c r="J152" s="8"/>
      <c r="K152" s="8"/>
      <c r="L152" s="8"/>
      <c r="M152" s="8"/>
      <c r="N152" s="51"/>
      <c r="O152" s="8"/>
      <c r="P152" s="5"/>
    </row>
    <row r="153" spans="1:256" ht="15.6" x14ac:dyDescent="0.3">
      <c r="A153" s="24"/>
      <c r="B153" s="25" t="s">
        <v>234</v>
      </c>
      <c r="C153" s="25"/>
      <c r="D153" s="25"/>
      <c r="E153" s="25"/>
      <c r="F153" s="25"/>
      <c r="G153" s="25"/>
      <c r="H153" s="25"/>
      <c r="I153" s="25"/>
      <c r="J153" s="25"/>
      <c r="K153" s="25"/>
      <c r="L153" s="25"/>
      <c r="M153" s="25"/>
      <c r="N153" s="52">
        <f>N57</f>
        <v>183590</v>
      </c>
      <c r="O153" s="25"/>
      <c r="P153" s="5"/>
      <c r="Q153" s="104"/>
    </row>
    <row r="154" spans="1:256" ht="15.6" x14ac:dyDescent="0.3">
      <c r="A154" s="24"/>
      <c r="B154" s="25" t="s">
        <v>54</v>
      </c>
      <c r="C154" s="25"/>
      <c r="D154" s="25"/>
      <c r="E154" s="25"/>
      <c r="F154" s="25"/>
      <c r="G154" s="25"/>
      <c r="H154" s="25"/>
      <c r="I154" s="25"/>
      <c r="J154" s="25"/>
      <c r="K154" s="25"/>
      <c r="L154" s="25"/>
      <c r="M154" s="25"/>
      <c r="N154" s="52">
        <f>N73</f>
        <v>183590</v>
      </c>
      <c r="O154" s="25"/>
      <c r="P154" s="5"/>
    </row>
    <row r="155" spans="1:256" ht="16.2" thickBot="1" x14ac:dyDescent="0.35">
      <c r="A155" s="24"/>
      <c r="B155" s="25"/>
      <c r="C155" s="25"/>
      <c r="D155" s="25"/>
      <c r="E155" s="25"/>
      <c r="F155" s="25"/>
      <c r="G155" s="25"/>
      <c r="H155" s="25"/>
      <c r="I155" s="25"/>
      <c r="J155" s="25"/>
      <c r="K155" s="25"/>
      <c r="L155" s="25"/>
      <c r="M155" s="25"/>
      <c r="N155" s="59"/>
      <c r="O155" s="25"/>
      <c r="P155" s="5"/>
    </row>
    <row r="156" spans="1:256" s="150" customFormat="1" ht="15.6" x14ac:dyDescent="0.3">
      <c r="A156" s="2"/>
      <c r="B156" s="4"/>
      <c r="C156" s="4"/>
      <c r="D156" s="4"/>
      <c r="E156" s="4"/>
      <c r="F156" s="4"/>
      <c r="G156" s="4"/>
      <c r="H156" s="4"/>
      <c r="I156" s="4"/>
      <c r="J156" s="4"/>
      <c r="K156" s="4"/>
      <c r="L156" s="4"/>
      <c r="M156" s="4"/>
      <c r="N156" s="49"/>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s="153" customFormat="1" ht="15.6" x14ac:dyDescent="0.3">
      <c r="A157" s="6"/>
      <c r="B157" s="160" t="s">
        <v>205</v>
      </c>
      <c r="C157" s="151"/>
      <c r="D157" s="151"/>
      <c r="E157" s="151"/>
      <c r="F157" s="151"/>
      <c r="G157" s="151"/>
      <c r="H157" s="151"/>
      <c r="I157" s="151"/>
      <c r="J157" s="151"/>
      <c r="K157" s="151"/>
      <c r="L157" s="151"/>
      <c r="M157" s="151"/>
      <c r="N157" s="152"/>
      <c r="O157" s="151"/>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ht="16.2" thickBot="1" x14ac:dyDescent="0.35">
      <c r="A158" s="6"/>
      <c r="B158" s="151"/>
      <c r="C158" s="151"/>
      <c r="D158" s="151"/>
      <c r="E158" s="151"/>
      <c r="F158" s="151"/>
      <c r="G158" s="151"/>
      <c r="H158" s="151"/>
      <c r="I158" s="151"/>
      <c r="J158" s="151"/>
      <c r="K158" s="151"/>
      <c r="L158" s="151"/>
      <c r="M158" s="151"/>
      <c r="N158" s="152"/>
      <c r="O158" s="151"/>
      <c r="P158" s="5"/>
    </row>
    <row r="159" spans="1:256" s="156" customFormat="1" ht="15.6" x14ac:dyDescent="0.3">
      <c r="A159" s="2"/>
      <c r="B159" s="4" t="s">
        <v>206</v>
      </c>
      <c r="C159" s="4"/>
      <c r="D159" s="4"/>
      <c r="E159" s="4"/>
      <c r="F159" s="4"/>
      <c r="G159" s="4"/>
      <c r="H159" s="4"/>
      <c r="I159" s="4"/>
      <c r="J159" s="4"/>
      <c r="K159" s="4"/>
      <c r="L159" s="4"/>
      <c r="M159" s="4"/>
      <c r="N159" s="185">
        <v>638</v>
      </c>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53" customFormat="1" ht="15.6" x14ac:dyDescent="0.3">
      <c r="A160" s="181"/>
      <c r="B160" s="182" t="s">
        <v>207</v>
      </c>
      <c r="C160" s="182"/>
      <c r="D160" s="182"/>
      <c r="E160" s="182"/>
      <c r="F160" s="182"/>
      <c r="G160" s="182"/>
      <c r="H160" s="182"/>
      <c r="I160" s="182"/>
      <c r="J160" s="182"/>
      <c r="K160" s="182"/>
      <c r="L160" s="182"/>
      <c r="M160" s="182"/>
      <c r="N160" s="183">
        <v>36</v>
      </c>
      <c r="O160" s="18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63" customFormat="1" ht="15.6" x14ac:dyDescent="0.3">
      <c r="A161" s="181"/>
      <c r="B161" s="182" t="s">
        <v>208</v>
      </c>
      <c r="C161" s="182"/>
      <c r="D161" s="182"/>
      <c r="E161" s="182"/>
      <c r="F161" s="182"/>
      <c r="G161" s="182"/>
      <c r="H161" s="182"/>
      <c r="I161" s="182"/>
      <c r="J161" s="182"/>
      <c r="K161" s="182"/>
      <c r="L161" s="182"/>
      <c r="M161" s="182"/>
      <c r="N161" s="183">
        <v>0</v>
      </c>
      <c r="O161" s="18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5.6" x14ac:dyDescent="0.3">
      <c r="A162" s="181"/>
      <c r="B162" s="182" t="s">
        <v>217</v>
      </c>
      <c r="C162" s="182"/>
      <c r="D162" s="182"/>
      <c r="E162" s="182"/>
      <c r="F162" s="182"/>
      <c r="G162" s="182"/>
      <c r="H162" s="182"/>
      <c r="I162" s="182"/>
      <c r="J162" s="182"/>
      <c r="K162" s="182"/>
      <c r="L162" s="182"/>
      <c r="M162" s="182"/>
      <c r="N162" s="183">
        <f>N159-N160-N161</f>
        <v>602</v>
      </c>
      <c r="O162" s="18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59" customFormat="1" ht="16.2" thickBot="1" x14ac:dyDescent="0.35">
      <c r="A163" s="6"/>
      <c r="B163" s="151"/>
      <c r="C163" s="151"/>
      <c r="D163" s="151"/>
      <c r="E163" s="151"/>
      <c r="F163" s="151"/>
      <c r="G163" s="151"/>
      <c r="H163" s="151"/>
      <c r="I163" s="151"/>
      <c r="J163" s="151"/>
      <c r="K163" s="151"/>
      <c r="L163" s="151"/>
      <c r="M163" s="151"/>
      <c r="N163" s="165"/>
      <c r="O163" s="151"/>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s="173" customFormat="1" ht="15.6" x14ac:dyDescent="0.3">
      <c r="A164" s="168"/>
      <c r="B164" s="169"/>
      <c r="C164" s="169"/>
      <c r="D164" s="169"/>
      <c r="E164" s="169"/>
      <c r="F164" s="169"/>
      <c r="G164" s="169"/>
      <c r="H164" s="169"/>
      <c r="I164" s="169"/>
      <c r="J164" s="169"/>
      <c r="K164" s="169"/>
      <c r="L164" s="169"/>
      <c r="M164" s="169"/>
      <c r="N164" s="170"/>
      <c r="O164" s="169"/>
      <c r="P164" s="172"/>
    </row>
    <row r="165" spans="1:256" ht="15.6" x14ac:dyDescent="0.3">
      <c r="A165" s="6"/>
      <c r="B165" s="114" t="s">
        <v>55</v>
      </c>
      <c r="C165" s="112"/>
      <c r="D165" s="115"/>
      <c r="E165" s="115"/>
      <c r="F165" s="115"/>
      <c r="G165" s="115"/>
      <c r="H165" s="115"/>
      <c r="I165" s="115"/>
      <c r="J165" s="115"/>
      <c r="K165" s="115" t="s">
        <v>98</v>
      </c>
      <c r="L165" s="115" t="s">
        <v>226</v>
      </c>
      <c r="M165" s="106"/>
      <c r="N165" s="116" t="s">
        <v>114</v>
      </c>
      <c r="O165" s="10"/>
      <c r="P165" s="5"/>
    </row>
    <row r="166" spans="1:256" ht="15.6" x14ac:dyDescent="0.3">
      <c r="A166" s="24"/>
      <c r="B166" s="25" t="s">
        <v>56</v>
      </c>
      <c r="C166" s="25"/>
      <c r="D166" s="25"/>
      <c r="E166" s="25"/>
      <c r="F166" s="25"/>
      <c r="G166" s="25"/>
      <c r="H166" s="25"/>
      <c r="I166" s="25"/>
      <c r="J166" s="25"/>
      <c r="K166" s="52" t="s">
        <v>117</v>
      </c>
      <c r="L166" s="40" t="s">
        <v>117</v>
      </c>
      <c r="M166" s="25"/>
      <c r="N166" s="52"/>
      <c r="O166" s="25"/>
      <c r="P166" s="5"/>
    </row>
    <row r="167" spans="1:256" ht="15.6" x14ac:dyDescent="0.3">
      <c r="A167" s="24"/>
      <c r="B167" s="25" t="s">
        <v>57</v>
      </c>
      <c r="C167" s="25"/>
      <c r="D167" s="25"/>
      <c r="E167" s="25"/>
      <c r="F167" s="25"/>
      <c r="G167" s="25"/>
      <c r="H167" s="25"/>
      <c r="I167" s="25"/>
      <c r="J167" s="25"/>
      <c r="K167" s="52">
        <v>0</v>
      </c>
      <c r="L167" s="52">
        <f>+'Nov 07'!L169</f>
        <v>4511</v>
      </c>
      <c r="M167" s="25"/>
      <c r="N167" s="52">
        <f>K167+L167</f>
        <v>4511</v>
      </c>
      <c r="O167" s="25"/>
      <c r="P167" s="5"/>
    </row>
    <row r="168" spans="1:256" ht="15.6" x14ac:dyDescent="0.3">
      <c r="A168" s="24"/>
      <c r="B168" s="25" t="s">
        <v>58</v>
      </c>
      <c r="C168" s="25"/>
      <c r="D168" s="25"/>
      <c r="E168" s="25"/>
      <c r="F168" s="25"/>
      <c r="G168" s="25"/>
      <c r="H168" s="25"/>
      <c r="I168" s="25"/>
      <c r="J168" s="25"/>
      <c r="K168" s="34">
        <v>0</v>
      </c>
      <c r="L168" s="34">
        <v>854</v>
      </c>
      <c r="M168" s="25"/>
      <c r="N168" s="52">
        <f>K168+L168</f>
        <v>854</v>
      </c>
      <c r="O168" s="25"/>
      <c r="P168" s="5"/>
    </row>
    <row r="169" spans="1:256" ht="15.6" x14ac:dyDescent="0.3">
      <c r="A169" s="24"/>
      <c r="B169" s="25" t="s">
        <v>59</v>
      </c>
      <c r="C169" s="25"/>
      <c r="D169" s="25"/>
      <c r="E169" s="25"/>
      <c r="F169" s="25"/>
      <c r="G169" s="25"/>
      <c r="H169" s="25"/>
      <c r="I169" s="25"/>
      <c r="J169" s="25"/>
      <c r="K169" s="52">
        <f>K167+K168</f>
        <v>0</v>
      </c>
      <c r="L169" s="52">
        <f>L168+L167</f>
        <v>5365</v>
      </c>
      <c r="M169" s="25"/>
      <c r="N169" s="52">
        <f>K169+L169</f>
        <v>5365</v>
      </c>
      <c r="O169" s="25"/>
      <c r="P169" s="5"/>
    </row>
    <row r="170" spans="1:256" ht="15.6" x14ac:dyDescent="0.3">
      <c r="A170" s="24"/>
      <c r="B170" s="25" t="s">
        <v>60</v>
      </c>
      <c r="C170" s="25"/>
      <c r="D170" s="25"/>
      <c r="E170" s="25"/>
      <c r="F170" s="25"/>
      <c r="G170" s="25"/>
      <c r="H170" s="25"/>
      <c r="I170" s="25"/>
      <c r="J170" s="25"/>
      <c r="K170" s="52" t="s">
        <v>117</v>
      </c>
      <c r="L170" s="40" t="s">
        <v>117</v>
      </c>
      <c r="M170" s="25"/>
      <c r="N170" s="52"/>
      <c r="O170" s="25"/>
      <c r="P170" s="5"/>
    </row>
    <row r="171" spans="1:256" ht="16.2" thickBot="1" x14ac:dyDescent="0.35">
      <c r="A171" s="24"/>
      <c r="B171" s="25"/>
      <c r="C171" s="25"/>
      <c r="D171" s="25"/>
      <c r="E171" s="25"/>
      <c r="F171" s="25"/>
      <c r="G171" s="25"/>
      <c r="H171" s="25"/>
      <c r="I171" s="25"/>
      <c r="J171" s="25"/>
      <c r="K171" s="25"/>
      <c r="L171" s="25"/>
      <c r="M171" s="25"/>
      <c r="N171" s="59"/>
      <c r="O171" s="25"/>
      <c r="P171" s="5"/>
    </row>
    <row r="172" spans="1:256" ht="15.6" x14ac:dyDescent="0.3">
      <c r="A172" s="2"/>
      <c r="B172" s="4"/>
      <c r="C172" s="4"/>
      <c r="D172" s="4"/>
      <c r="E172" s="4"/>
      <c r="F172" s="4"/>
      <c r="G172" s="4"/>
      <c r="H172" s="4"/>
      <c r="I172" s="4"/>
      <c r="J172" s="4"/>
      <c r="K172" s="4"/>
      <c r="L172" s="4"/>
      <c r="M172" s="4"/>
      <c r="N172" s="49"/>
      <c r="O172" s="4"/>
      <c r="P172" s="5"/>
    </row>
    <row r="173" spans="1:256" ht="15.6" x14ac:dyDescent="0.3">
      <c r="A173" s="6"/>
      <c r="B173" s="114" t="s">
        <v>61</v>
      </c>
      <c r="C173" s="8"/>
      <c r="D173" s="8"/>
      <c r="E173" s="8"/>
      <c r="F173" s="8"/>
      <c r="G173" s="8"/>
      <c r="H173" s="8"/>
      <c r="I173" s="8"/>
      <c r="J173" s="8"/>
      <c r="K173" s="8"/>
      <c r="L173" s="8"/>
      <c r="M173" s="8"/>
      <c r="N173" s="63"/>
      <c r="O173" s="8"/>
      <c r="P173" s="5"/>
    </row>
    <row r="174" spans="1:256" ht="15.6" x14ac:dyDescent="0.3">
      <c r="A174" s="24"/>
      <c r="B174" s="25" t="s">
        <v>62</v>
      </c>
      <c r="C174" s="25"/>
      <c r="D174" s="25"/>
      <c r="E174" s="25"/>
      <c r="F174" s="25"/>
      <c r="G174" s="25"/>
      <c r="H174" s="25"/>
      <c r="I174" s="25"/>
      <c r="J174" s="25"/>
      <c r="K174" s="25"/>
      <c r="L174" s="25"/>
      <c r="M174" s="25"/>
      <c r="N174" s="57">
        <f>(N88+N90+N91+N92+N93)/-N94</f>
        <v>1.4034348671419312</v>
      </c>
      <c r="O174" s="25" t="s">
        <v>115</v>
      </c>
      <c r="P174" s="5"/>
    </row>
    <row r="175" spans="1:256" ht="15.6" x14ac:dyDescent="0.3">
      <c r="A175" s="24"/>
      <c r="B175" s="25" t="s">
        <v>63</v>
      </c>
      <c r="C175" s="25"/>
      <c r="D175" s="25"/>
      <c r="E175" s="25"/>
      <c r="F175" s="25"/>
      <c r="G175" s="25"/>
      <c r="H175" s="25"/>
      <c r="I175" s="25"/>
      <c r="J175" s="25"/>
      <c r="K175" s="25"/>
      <c r="L175" s="25"/>
      <c r="M175" s="25"/>
      <c r="N175" s="64">
        <v>1.39</v>
      </c>
      <c r="O175" s="25" t="s">
        <v>115</v>
      </c>
      <c r="P175" s="5"/>
    </row>
    <row r="176" spans="1:256" ht="15.6" x14ac:dyDescent="0.3">
      <c r="A176" s="24"/>
      <c r="B176" s="25" t="s">
        <v>64</v>
      </c>
      <c r="C176" s="25"/>
      <c r="D176" s="25"/>
      <c r="E176" s="25"/>
      <c r="F176" s="25"/>
      <c r="G176" s="25"/>
      <c r="H176" s="25"/>
      <c r="I176" s="25"/>
      <c r="J176" s="25"/>
      <c r="K176" s="25"/>
      <c r="L176" s="25"/>
      <c r="M176" s="25"/>
      <c r="N176" s="57">
        <f>(N88+N90+N91+N92+N93+N94)/-N96</f>
        <v>18.582089552238806</v>
      </c>
      <c r="O176" s="25" t="s">
        <v>115</v>
      </c>
      <c r="P176" s="5"/>
    </row>
    <row r="177" spans="1:16" ht="15.6" x14ac:dyDescent="0.3">
      <c r="A177" s="24"/>
      <c r="B177" s="25" t="s">
        <v>65</v>
      </c>
      <c r="C177" s="25"/>
      <c r="D177" s="25"/>
      <c r="E177" s="25"/>
      <c r="F177" s="25"/>
      <c r="G177" s="25"/>
      <c r="H177" s="25"/>
      <c r="I177" s="25"/>
      <c r="J177" s="25"/>
      <c r="K177" s="25"/>
      <c r="L177" s="25"/>
      <c r="M177" s="25"/>
      <c r="N177" s="64">
        <v>21.61</v>
      </c>
      <c r="O177" s="25" t="s">
        <v>115</v>
      </c>
      <c r="P177" s="5"/>
    </row>
    <row r="178" spans="1:16" ht="15.6" x14ac:dyDescent="0.3">
      <c r="A178" s="24"/>
      <c r="B178" s="25" t="s">
        <v>166</v>
      </c>
      <c r="C178" s="25"/>
      <c r="D178" s="25"/>
      <c r="E178" s="25"/>
      <c r="F178" s="25"/>
      <c r="G178" s="25"/>
      <c r="H178" s="25"/>
      <c r="I178" s="25"/>
      <c r="J178" s="25"/>
      <c r="K178" s="25"/>
      <c r="L178" s="25"/>
      <c r="M178" s="25"/>
      <c r="N178" s="57">
        <f>(N88+N90+N91+N92+N93+N94+N96)/-N97</f>
        <v>17.323529411764707</v>
      </c>
      <c r="O178" s="25" t="s">
        <v>115</v>
      </c>
      <c r="P178" s="5"/>
    </row>
    <row r="179" spans="1:16" ht="15.6" x14ac:dyDescent="0.3">
      <c r="A179" s="24"/>
      <c r="B179" s="25" t="s">
        <v>167</v>
      </c>
      <c r="C179" s="25"/>
      <c r="D179" s="25"/>
      <c r="E179" s="25"/>
      <c r="F179" s="25"/>
      <c r="G179" s="25"/>
      <c r="H179" s="25"/>
      <c r="I179" s="25"/>
      <c r="J179" s="25"/>
      <c r="K179" s="25"/>
      <c r="L179" s="25"/>
      <c r="M179" s="25"/>
      <c r="N179" s="64">
        <v>20.260000000000002</v>
      </c>
      <c r="O179" s="25" t="s">
        <v>115</v>
      </c>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24"/>
      <c r="B181" s="25"/>
      <c r="C181" s="25"/>
      <c r="D181" s="25"/>
      <c r="E181" s="25"/>
      <c r="F181" s="25"/>
      <c r="G181" s="25"/>
      <c r="H181" s="25"/>
      <c r="I181" s="25"/>
      <c r="J181" s="25"/>
      <c r="K181" s="25"/>
      <c r="L181" s="25"/>
      <c r="M181" s="25"/>
      <c r="N181" s="25"/>
      <c r="O181" s="25"/>
      <c r="P181" s="5"/>
    </row>
    <row r="182" spans="1:16" ht="15.6" x14ac:dyDescent="0.3">
      <c r="A182" s="6"/>
      <c r="B182" s="8"/>
      <c r="C182" s="8"/>
      <c r="D182" s="8"/>
      <c r="E182" s="8"/>
      <c r="F182" s="8"/>
      <c r="G182" s="8"/>
      <c r="H182" s="8"/>
      <c r="I182" s="8"/>
      <c r="J182" s="8"/>
      <c r="K182" s="8"/>
      <c r="L182" s="8"/>
      <c r="M182" s="8"/>
      <c r="N182" s="8"/>
      <c r="O182" s="8"/>
      <c r="P182" s="5"/>
    </row>
    <row r="183" spans="1:16" ht="18" thickBot="1" x14ac:dyDescent="0.35">
      <c r="A183" s="96"/>
      <c r="B183" s="97" t="str">
        <f>B116</f>
        <v>FF7 INVESTOR REPORT QUARTER ENDING FEBRUARY 2008</v>
      </c>
      <c r="C183" s="177"/>
      <c r="D183" s="177"/>
      <c r="E183" s="177"/>
      <c r="F183" s="177"/>
      <c r="G183" s="177"/>
      <c r="H183" s="177"/>
      <c r="I183" s="177"/>
      <c r="J183" s="177"/>
      <c r="K183" s="177"/>
      <c r="L183" s="177"/>
      <c r="M183" s="177"/>
      <c r="N183" s="177"/>
      <c r="O183" s="178"/>
      <c r="P183" s="5"/>
    </row>
    <row r="184" spans="1:16" ht="15.6" x14ac:dyDescent="0.3">
      <c r="A184" s="65"/>
      <c r="B184" s="58" t="s">
        <v>66</v>
      </c>
      <c r="C184" s="66"/>
      <c r="D184" s="67"/>
      <c r="E184" s="67"/>
      <c r="F184" s="67"/>
      <c r="G184" s="67"/>
      <c r="H184" s="67"/>
      <c r="I184" s="67"/>
      <c r="J184" s="67"/>
      <c r="K184" s="67"/>
      <c r="L184" s="68">
        <v>39507</v>
      </c>
      <c r="M184" s="4"/>
      <c r="N184" s="4"/>
      <c r="O184" s="4"/>
      <c r="P184" s="5"/>
    </row>
    <row r="185" spans="1:16" ht="15.6" x14ac:dyDescent="0.3">
      <c r="A185" s="69"/>
      <c r="B185" s="70"/>
      <c r="C185" s="71"/>
      <c r="D185" s="72"/>
      <c r="E185" s="72"/>
      <c r="F185" s="72"/>
      <c r="G185" s="72"/>
      <c r="H185" s="72"/>
      <c r="I185" s="72"/>
      <c r="J185" s="72"/>
      <c r="K185" s="72"/>
      <c r="L185" s="72"/>
      <c r="M185" s="8"/>
      <c r="N185" s="8"/>
      <c r="O185" s="8"/>
      <c r="P185" s="5"/>
    </row>
    <row r="186" spans="1:16" ht="15.6" x14ac:dyDescent="0.3">
      <c r="A186" s="73"/>
      <c r="B186" s="74" t="s">
        <v>67</v>
      </c>
      <c r="C186" s="75"/>
      <c r="D186" s="62"/>
      <c r="E186" s="62"/>
      <c r="F186" s="62"/>
      <c r="G186" s="62"/>
      <c r="H186" s="62"/>
      <c r="I186" s="62"/>
      <c r="J186" s="62"/>
      <c r="K186" s="62"/>
      <c r="L186" s="76">
        <v>7.2950000000000001E-2</v>
      </c>
      <c r="M186" s="25"/>
      <c r="N186" s="25"/>
      <c r="O186" s="25"/>
      <c r="P186" s="5"/>
    </row>
    <row r="187" spans="1:16" ht="15.6" x14ac:dyDescent="0.3">
      <c r="A187" s="73"/>
      <c r="B187" s="74" t="s">
        <v>213</v>
      </c>
      <c r="C187" s="75"/>
      <c r="D187" s="62"/>
      <c r="E187" s="62"/>
      <c r="F187" s="62"/>
      <c r="G187" s="62"/>
      <c r="H187" s="62"/>
      <c r="I187" s="62"/>
      <c r="J187" s="62"/>
      <c r="K187" s="62"/>
      <c r="L187" s="39">
        <v>5.79E-2</v>
      </c>
      <c r="M187" s="25"/>
      <c r="N187" s="25"/>
      <c r="O187" s="25"/>
      <c r="P187" s="5"/>
    </row>
    <row r="188" spans="1:16" ht="15.6" x14ac:dyDescent="0.3">
      <c r="A188" s="73"/>
      <c r="B188" s="74" t="s">
        <v>68</v>
      </c>
      <c r="C188" s="75"/>
      <c r="D188" s="62"/>
      <c r="E188" s="62"/>
      <c r="F188" s="62"/>
      <c r="G188" s="62"/>
      <c r="H188" s="62"/>
      <c r="I188" s="62"/>
      <c r="J188" s="62"/>
      <c r="K188" s="62"/>
      <c r="L188" s="76">
        <f>L186-L187</f>
        <v>1.5050000000000001E-2</v>
      </c>
      <c r="M188" s="25"/>
      <c r="N188" s="25"/>
      <c r="O188" s="25"/>
      <c r="P188" s="5"/>
    </row>
    <row r="189" spans="1:16" ht="15.6" x14ac:dyDescent="0.3">
      <c r="A189" s="73"/>
      <c r="B189" s="74" t="s">
        <v>69</v>
      </c>
      <c r="C189" s="75"/>
      <c r="D189" s="62"/>
      <c r="E189" s="62"/>
      <c r="F189" s="62"/>
      <c r="G189" s="62"/>
      <c r="H189" s="62"/>
      <c r="I189" s="62"/>
      <c r="J189" s="62"/>
      <c r="K189" s="62"/>
      <c r="L189" s="76">
        <v>7.8920000000000004E-2</v>
      </c>
      <c r="M189" s="25"/>
      <c r="N189" s="25"/>
      <c r="O189" s="25"/>
      <c r="P189" s="5"/>
    </row>
    <row r="190" spans="1:16" ht="15.6" x14ac:dyDescent="0.3">
      <c r="A190" s="73"/>
      <c r="B190" s="74" t="s">
        <v>212</v>
      </c>
      <c r="C190" s="75"/>
      <c r="D190" s="62"/>
      <c r="E190" s="62"/>
      <c r="F190" s="62"/>
      <c r="G190" s="62"/>
      <c r="H190" s="62"/>
      <c r="I190" s="62"/>
      <c r="J190" s="62"/>
      <c r="K190" s="62"/>
      <c r="L190" s="76">
        <f>N34</f>
        <v>6.5557716333872737E-2</v>
      </c>
      <c r="M190" s="25"/>
      <c r="N190" s="25"/>
      <c r="O190" s="25"/>
      <c r="P190" s="5"/>
    </row>
    <row r="191" spans="1:16" ht="15.6" x14ac:dyDescent="0.3">
      <c r="A191" s="73"/>
      <c r="B191" s="74" t="s">
        <v>70</v>
      </c>
      <c r="C191" s="75"/>
      <c r="D191" s="62"/>
      <c r="E191" s="62"/>
      <c r="F191" s="62"/>
      <c r="G191" s="62"/>
      <c r="H191" s="62"/>
      <c r="I191" s="62"/>
      <c r="J191" s="62"/>
      <c r="K191" s="62"/>
      <c r="L191" s="76">
        <f>L189-L190</f>
        <v>1.3362283666127267E-2</v>
      </c>
      <c r="M191" s="25"/>
      <c r="N191" s="25"/>
      <c r="O191" s="25"/>
      <c r="P191" s="5"/>
    </row>
    <row r="192" spans="1:16" ht="15.6" x14ac:dyDescent="0.3">
      <c r="A192" s="73"/>
      <c r="B192" s="74" t="s">
        <v>203</v>
      </c>
      <c r="C192" s="75"/>
      <c r="D192" s="62"/>
      <c r="E192" s="62"/>
      <c r="F192" s="62"/>
      <c r="G192" s="62"/>
      <c r="H192" s="62"/>
      <c r="I192" s="62"/>
      <c r="J192" s="62"/>
      <c r="K192" s="62"/>
      <c r="L192" s="76">
        <f>+N88/F60</f>
        <v>2.2449175733847266E-2</v>
      </c>
      <c r="M192" s="25"/>
      <c r="N192" s="25"/>
      <c r="O192" s="25"/>
      <c r="P192" s="5"/>
    </row>
    <row r="193" spans="1:16" ht="15.6" x14ac:dyDescent="0.3">
      <c r="A193" s="73"/>
      <c r="B193" s="74" t="s">
        <v>171</v>
      </c>
      <c r="C193" s="75"/>
      <c r="D193" s="62"/>
      <c r="E193" s="62"/>
      <c r="F193" s="62"/>
      <c r="G193" s="62"/>
      <c r="H193" s="62"/>
      <c r="I193" s="62"/>
      <c r="J193" s="62"/>
      <c r="K193" s="62"/>
      <c r="L193" s="122">
        <v>48823</v>
      </c>
      <c r="M193" s="25"/>
      <c r="N193" s="25"/>
      <c r="O193" s="25"/>
      <c r="P193" s="5"/>
    </row>
    <row r="194" spans="1:16" ht="15.6" x14ac:dyDescent="0.3">
      <c r="A194" s="73"/>
      <c r="B194" s="74" t="s">
        <v>172</v>
      </c>
      <c r="C194" s="75"/>
      <c r="D194" s="62"/>
      <c r="E194" s="62"/>
      <c r="F194" s="62"/>
      <c r="G194" s="62"/>
      <c r="H194" s="62"/>
      <c r="I194" s="62"/>
      <c r="J194" s="62"/>
      <c r="K194" s="62"/>
      <c r="L194" s="122">
        <v>48823</v>
      </c>
      <c r="M194" s="25"/>
      <c r="N194" s="25"/>
      <c r="O194" s="25"/>
      <c r="P194" s="5"/>
    </row>
    <row r="195" spans="1:16" ht="15.6" x14ac:dyDescent="0.3">
      <c r="A195" s="73"/>
      <c r="B195" s="74" t="s">
        <v>173</v>
      </c>
      <c r="C195" s="75"/>
      <c r="D195" s="62"/>
      <c r="E195" s="62"/>
      <c r="F195" s="62"/>
      <c r="G195" s="62"/>
      <c r="H195" s="62"/>
      <c r="I195" s="62"/>
      <c r="J195" s="62"/>
      <c r="K195" s="62"/>
      <c r="L195" s="122">
        <v>48823</v>
      </c>
      <c r="M195" s="25"/>
      <c r="N195" s="25"/>
      <c r="O195" s="25"/>
      <c r="P195" s="5"/>
    </row>
    <row r="196" spans="1:16" ht="15.6" x14ac:dyDescent="0.3">
      <c r="A196" s="73"/>
      <c r="B196" s="74" t="s">
        <v>71</v>
      </c>
      <c r="C196" s="75"/>
      <c r="D196" s="62"/>
      <c r="E196" s="62"/>
      <c r="F196" s="62"/>
      <c r="G196" s="62"/>
      <c r="H196" s="62"/>
      <c r="I196" s="62"/>
      <c r="J196" s="62"/>
      <c r="K196" s="62"/>
      <c r="L196" s="126">
        <v>9.93</v>
      </c>
      <c r="M196" s="25" t="s">
        <v>110</v>
      </c>
      <c r="N196" s="25"/>
      <c r="O196" s="25"/>
      <c r="P196" s="5"/>
    </row>
    <row r="197" spans="1:16" ht="15.6" x14ac:dyDescent="0.3">
      <c r="A197" s="73"/>
      <c r="B197" s="74" t="s">
        <v>72</v>
      </c>
      <c r="C197" s="75"/>
      <c r="D197" s="62"/>
      <c r="E197" s="62"/>
      <c r="F197" s="62"/>
      <c r="G197" s="62"/>
      <c r="H197" s="62"/>
      <c r="I197" s="62"/>
      <c r="J197" s="62"/>
      <c r="K197" s="62"/>
      <c r="L197" s="126">
        <v>8.48</v>
      </c>
      <c r="M197" s="25" t="s">
        <v>110</v>
      </c>
      <c r="N197" s="25"/>
      <c r="O197" s="25"/>
      <c r="P197" s="5"/>
    </row>
    <row r="198" spans="1:16" ht="15.6" x14ac:dyDescent="0.3">
      <c r="A198" s="73"/>
      <c r="B198" s="74" t="s">
        <v>73</v>
      </c>
      <c r="C198" s="75"/>
      <c r="D198" s="62"/>
      <c r="E198" s="62"/>
      <c r="F198" s="62"/>
      <c r="G198" s="62"/>
      <c r="H198" s="62"/>
      <c r="I198" s="62"/>
      <c r="J198" s="62"/>
      <c r="K198" s="62"/>
      <c r="L198" s="76">
        <f>+H57/F57</f>
        <v>8.6088514257585527E-2</v>
      </c>
      <c r="M198" s="25"/>
      <c r="N198" s="25"/>
      <c r="O198" s="25"/>
      <c r="P198" s="5"/>
    </row>
    <row r="199" spans="1:16" ht="15.6" x14ac:dyDescent="0.3">
      <c r="A199" s="73"/>
      <c r="B199" s="74" t="s">
        <v>74</v>
      </c>
      <c r="C199" s="75"/>
      <c r="D199" s="62"/>
      <c r="E199" s="62"/>
      <c r="F199" s="62"/>
      <c r="G199" s="62"/>
      <c r="H199" s="62"/>
      <c r="I199" s="62"/>
      <c r="J199" s="62"/>
      <c r="K199" s="62"/>
      <c r="L199" s="76">
        <v>0.35260000000000002</v>
      </c>
      <c r="M199" s="25"/>
      <c r="N199" s="25"/>
      <c r="O199" s="25"/>
      <c r="P199" s="5"/>
    </row>
    <row r="200" spans="1:16" ht="15.6" x14ac:dyDescent="0.3">
      <c r="A200" s="73"/>
      <c r="B200" s="74"/>
      <c r="C200" s="74"/>
      <c r="D200" s="25"/>
      <c r="E200" s="25"/>
      <c r="F200" s="25"/>
      <c r="G200" s="25"/>
      <c r="H200" s="25"/>
      <c r="I200" s="25"/>
      <c r="J200" s="25"/>
      <c r="K200" s="25"/>
      <c r="L200" s="59"/>
      <c r="M200" s="25"/>
      <c r="N200" s="77"/>
      <c r="O200" s="25"/>
      <c r="P200" s="5"/>
    </row>
    <row r="201" spans="1:16" ht="15.6" x14ac:dyDescent="0.3">
      <c r="A201" s="78"/>
      <c r="B201" s="14" t="s">
        <v>75</v>
      </c>
      <c r="C201" s="79"/>
      <c r="D201" s="17"/>
      <c r="E201" s="17"/>
      <c r="F201" s="17"/>
      <c r="G201" s="17"/>
      <c r="H201" s="17"/>
      <c r="I201" s="17"/>
      <c r="J201" s="17"/>
      <c r="K201" s="17" t="s">
        <v>99</v>
      </c>
      <c r="L201" s="80" t="s">
        <v>106</v>
      </c>
      <c r="M201" s="8"/>
      <c r="N201" s="8"/>
      <c r="O201" s="8"/>
      <c r="P201" s="5"/>
    </row>
    <row r="202" spans="1:16" ht="15.6" x14ac:dyDescent="0.3">
      <c r="A202" s="81"/>
      <c r="B202" s="74" t="s">
        <v>76</v>
      </c>
      <c r="C202" s="53"/>
      <c r="D202" s="30"/>
      <c r="E202" s="30"/>
      <c r="F202" s="30"/>
      <c r="G202" s="30"/>
      <c r="H202" s="30"/>
      <c r="I202" s="30"/>
      <c r="J202" s="30"/>
      <c r="K202" s="30">
        <v>25</v>
      </c>
      <c r="L202" s="82">
        <v>1809</v>
      </c>
      <c r="M202" s="25"/>
      <c r="N202" s="77"/>
      <c r="O202" s="83"/>
      <c r="P202" s="5"/>
    </row>
    <row r="203" spans="1:16" ht="15.6" x14ac:dyDescent="0.3">
      <c r="A203" s="81"/>
      <c r="B203" s="74" t="s">
        <v>136</v>
      </c>
      <c r="C203" s="53"/>
      <c r="D203" s="30"/>
      <c r="E203" s="30"/>
      <c r="F203" s="30"/>
      <c r="G203" s="30"/>
      <c r="H203" s="30"/>
      <c r="I203" s="30"/>
      <c r="J203" s="30"/>
      <c r="K203" s="142">
        <f>+J253</f>
        <v>0</v>
      </c>
      <c r="L203" s="82">
        <f>+L253</f>
        <v>0</v>
      </c>
      <c r="M203" s="25"/>
      <c r="N203" s="77"/>
      <c r="O203" s="83"/>
      <c r="P203" s="5"/>
    </row>
    <row r="204" spans="1:16" ht="15.6" x14ac:dyDescent="0.3">
      <c r="A204" s="81"/>
      <c r="B204" s="74" t="s">
        <v>77</v>
      </c>
      <c r="C204" s="53"/>
      <c r="D204" s="30"/>
      <c r="E204" s="30"/>
      <c r="F204" s="30"/>
      <c r="G204" s="30"/>
      <c r="H204" s="30"/>
      <c r="I204" s="30"/>
      <c r="J204" s="30"/>
      <c r="K204" s="142">
        <f>+J270</f>
        <v>1</v>
      </c>
      <c r="L204" s="82">
        <f>+L270</f>
        <v>87</v>
      </c>
      <c r="M204" s="25"/>
      <c r="N204" s="77"/>
      <c r="O204" s="83"/>
      <c r="P204" s="5"/>
    </row>
    <row r="205" spans="1:16" ht="15.6" x14ac:dyDescent="0.3">
      <c r="A205" s="81"/>
      <c r="B205" s="117" t="s">
        <v>78</v>
      </c>
      <c r="C205" s="53"/>
      <c r="D205" s="25"/>
      <c r="E205" s="25"/>
      <c r="F205" s="25"/>
      <c r="G205" s="25"/>
      <c r="H205" s="25"/>
      <c r="I205" s="25"/>
      <c r="J205" s="25"/>
      <c r="K205" s="25"/>
      <c r="L205" s="82">
        <v>0</v>
      </c>
      <c r="M205" s="25"/>
      <c r="N205" s="77"/>
      <c r="O205" s="83"/>
      <c r="P205" s="5"/>
    </row>
    <row r="206" spans="1:16" ht="15.6" x14ac:dyDescent="0.3">
      <c r="A206" s="81"/>
      <c r="B206" s="117" t="s">
        <v>79</v>
      </c>
      <c r="C206" s="53"/>
      <c r="D206" s="25"/>
      <c r="E206" s="25"/>
      <c r="F206" s="25"/>
      <c r="G206" s="25"/>
      <c r="H206" s="25"/>
      <c r="I206" s="25"/>
      <c r="J206" s="25"/>
      <c r="K206" s="25"/>
      <c r="L206" s="60" t="s">
        <v>107</v>
      </c>
      <c r="M206" s="25"/>
      <c r="N206" s="77"/>
      <c r="O206" s="83"/>
      <c r="P206" s="5"/>
    </row>
    <row r="207" spans="1:16" ht="15.6" x14ac:dyDescent="0.3">
      <c r="A207" s="84"/>
      <c r="B207" s="117" t="s">
        <v>80</v>
      </c>
      <c r="C207" s="74"/>
      <c r="D207" s="25"/>
      <c r="E207" s="25"/>
      <c r="F207" s="25"/>
      <c r="G207" s="25"/>
      <c r="H207" s="25"/>
      <c r="I207" s="25"/>
      <c r="J207" s="25"/>
      <c r="K207" s="25"/>
      <c r="L207" s="82"/>
      <c r="M207" s="25"/>
      <c r="N207" s="77"/>
      <c r="O207" s="85"/>
      <c r="P207" s="5"/>
    </row>
    <row r="208" spans="1:16" ht="15.6" x14ac:dyDescent="0.3">
      <c r="A208" s="84"/>
      <c r="B208" s="124" t="s">
        <v>81</v>
      </c>
      <c r="C208" s="74"/>
      <c r="D208" s="25"/>
      <c r="E208" s="25"/>
      <c r="F208" s="25"/>
      <c r="G208" s="25"/>
      <c r="H208" s="25"/>
      <c r="I208" s="25"/>
      <c r="J208" s="25"/>
      <c r="K208" s="30"/>
      <c r="L208" s="82">
        <f>N145</f>
        <v>1</v>
      </c>
      <c r="M208" s="25"/>
      <c r="N208" s="77"/>
      <c r="O208" s="85"/>
      <c r="P208" s="5"/>
    </row>
    <row r="209" spans="1:17" ht="15.6" x14ac:dyDescent="0.3">
      <c r="A209" s="81"/>
      <c r="B209" s="74" t="s">
        <v>82</v>
      </c>
      <c r="C209" s="53"/>
      <c r="D209" s="25"/>
      <c r="E209" s="25"/>
      <c r="F209" s="25"/>
      <c r="G209" s="25"/>
      <c r="H209" s="25"/>
      <c r="I209" s="25"/>
      <c r="J209" s="25"/>
      <c r="K209" s="30"/>
      <c r="L209" s="82">
        <f>'Nov 07'!L209+L208</f>
        <v>27</v>
      </c>
      <c r="M209" s="25"/>
      <c r="N209" s="77"/>
      <c r="O209" s="85"/>
      <c r="P209" s="5"/>
    </row>
    <row r="210" spans="1:17" ht="15.6" x14ac:dyDescent="0.3">
      <c r="A210" s="84"/>
      <c r="B210" s="117" t="s">
        <v>253</v>
      </c>
      <c r="C210" s="74"/>
      <c r="D210" s="25"/>
      <c r="E210" s="25"/>
      <c r="F210" s="25"/>
      <c r="G210" s="25"/>
      <c r="H210" s="25"/>
      <c r="I210" s="25"/>
      <c r="J210" s="25"/>
      <c r="K210" s="30"/>
      <c r="L210" s="82"/>
      <c r="M210" s="25"/>
      <c r="N210" s="77"/>
      <c r="O210" s="85"/>
      <c r="P210" s="5"/>
    </row>
    <row r="211" spans="1:17" ht="15.6" x14ac:dyDescent="0.3">
      <c r="A211" s="84"/>
      <c r="B211" s="74" t="s">
        <v>250</v>
      </c>
      <c r="C211" s="74"/>
      <c r="D211" s="25"/>
      <c r="E211" s="25"/>
      <c r="F211" s="25"/>
      <c r="G211" s="25"/>
      <c r="H211" s="25"/>
      <c r="I211" s="25"/>
      <c r="J211" s="25"/>
      <c r="K211" s="30">
        <v>1</v>
      </c>
      <c r="L211" s="82">
        <v>141</v>
      </c>
      <c r="M211" s="25"/>
      <c r="N211" s="77"/>
      <c r="O211" s="85"/>
      <c r="P211" s="5"/>
    </row>
    <row r="212" spans="1:17" ht="15.6" x14ac:dyDescent="0.3">
      <c r="A212" s="81"/>
      <c r="B212" s="74" t="s">
        <v>83</v>
      </c>
      <c r="C212" s="86"/>
      <c r="D212" s="25"/>
      <c r="E212" s="25"/>
      <c r="F212" s="25"/>
      <c r="G212" s="25"/>
      <c r="H212" s="25"/>
      <c r="I212" s="25"/>
      <c r="J212" s="25"/>
      <c r="K212" s="25"/>
      <c r="L212" s="60">
        <v>21.11</v>
      </c>
      <c r="M212" s="25"/>
      <c r="N212" s="77"/>
      <c r="O212" s="85"/>
      <c r="P212" s="5"/>
    </row>
    <row r="213" spans="1:17" ht="15.6" x14ac:dyDescent="0.3">
      <c r="A213" s="81"/>
      <c r="B213" s="74" t="s">
        <v>84</v>
      </c>
      <c r="C213" s="86"/>
      <c r="D213" s="25"/>
      <c r="E213" s="25"/>
      <c r="F213" s="25"/>
      <c r="G213" s="25"/>
      <c r="H213" s="25"/>
      <c r="I213" s="25"/>
      <c r="J213" s="25"/>
      <c r="K213" s="25"/>
      <c r="L213" s="60">
        <v>11.37</v>
      </c>
      <c r="M213" s="25"/>
      <c r="N213" s="77"/>
      <c r="O213" s="85"/>
      <c r="P213" s="5"/>
    </row>
    <row r="214" spans="1:17" ht="15.6" x14ac:dyDescent="0.3">
      <c r="A214" s="81"/>
      <c r="B214" s="117" t="s">
        <v>177</v>
      </c>
      <c r="C214" s="86"/>
      <c r="D214" s="25"/>
      <c r="E214" s="25"/>
      <c r="F214" s="25"/>
      <c r="G214" s="25"/>
      <c r="H214" s="25"/>
      <c r="I214" s="25"/>
      <c r="J214" s="25"/>
      <c r="K214" s="25"/>
      <c r="L214" s="87"/>
      <c r="M214" s="25"/>
      <c r="N214" s="77"/>
      <c r="O214" s="85"/>
      <c r="P214" s="5"/>
    </row>
    <row r="215" spans="1:17" ht="15.6" x14ac:dyDescent="0.3">
      <c r="A215" s="81"/>
      <c r="B215" s="74" t="s">
        <v>250</v>
      </c>
      <c r="C215" s="86"/>
      <c r="D215" s="25"/>
      <c r="E215" s="25"/>
      <c r="F215" s="25"/>
      <c r="G215" s="25"/>
      <c r="H215" s="25"/>
      <c r="I215" s="25"/>
      <c r="J215" s="25"/>
      <c r="K215" s="30">
        <v>0</v>
      </c>
      <c r="L215" s="82">
        <v>0</v>
      </c>
      <c r="M215" s="25"/>
      <c r="N215" s="77"/>
      <c r="O215" s="85"/>
      <c r="P215" s="5"/>
    </row>
    <row r="216" spans="1:17" ht="15.6" x14ac:dyDescent="0.3">
      <c r="A216" s="81"/>
      <c r="B216" s="74" t="s">
        <v>178</v>
      </c>
      <c r="C216" s="86"/>
      <c r="D216" s="25"/>
      <c r="E216" s="25"/>
      <c r="F216" s="25"/>
      <c r="G216" s="25"/>
      <c r="H216" s="25"/>
      <c r="I216" s="25"/>
      <c r="J216" s="25"/>
      <c r="K216" s="25"/>
      <c r="L216" s="60">
        <v>0</v>
      </c>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5.6" x14ac:dyDescent="0.3">
      <c r="A218" s="81"/>
      <c r="B218" s="74"/>
      <c r="C218" s="86"/>
      <c r="D218" s="25"/>
      <c r="E218" s="25"/>
      <c r="F218" s="25"/>
      <c r="G218" s="25"/>
      <c r="H218" s="25"/>
      <c r="I218" s="25"/>
      <c r="J218" s="25"/>
      <c r="K218" s="25"/>
      <c r="L218" s="87"/>
      <c r="M218" s="25"/>
      <c r="N218" s="77"/>
      <c r="O218" s="85"/>
      <c r="P218" s="5"/>
    </row>
    <row r="219" spans="1:17" ht="17.399999999999999" x14ac:dyDescent="0.3">
      <c r="A219" s="81"/>
      <c r="B219" s="140" t="s">
        <v>238</v>
      </c>
      <c r="C219" s="86"/>
      <c r="D219" s="25"/>
      <c r="E219" s="25"/>
      <c r="F219" s="25"/>
      <c r="G219" s="25"/>
      <c r="H219" s="180" t="s">
        <v>237</v>
      </c>
      <c r="I219" s="25"/>
      <c r="J219" s="25"/>
      <c r="K219" s="25"/>
      <c r="L219" s="87"/>
      <c r="M219" s="25"/>
      <c r="N219" s="77"/>
      <c r="O219" s="85"/>
      <c r="P219" s="5"/>
    </row>
    <row r="220" spans="1:17" ht="15.6" x14ac:dyDescent="0.3">
      <c r="A220" s="81"/>
      <c r="B220" s="74"/>
      <c r="C220" s="86"/>
      <c r="D220" s="25"/>
      <c r="E220" s="25"/>
      <c r="F220" s="25"/>
      <c r="G220" s="25"/>
      <c r="H220" s="25"/>
      <c r="I220" s="25"/>
      <c r="J220" s="25"/>
      <c r="K220" s="25"/>
      <c r="L220" s="87"/>
      <c r="M220" s="25"/>
      <c r="N220" s="77"/>
      <c r="O220" s="85"/>
      <c r="P220" s="5"/>
    </row>
    <row r="221" spans="1:17" ht="15.6" x14ac:dyDescent="0.3">
      <c r="A221" s="6"/>
      <c r="B221" s="14" t="s">
        <v>149</v>
      </c>
      <c r="C221" s="79"/>
      <c r="D221" s="17"/>
      <c r="E221" s="17"/>
      <c r="F221" s="17"/>
      <c r="G221" s="17"/>
      <c r="H221" s="17"/>
      <c r="I221" s="17"/>
      <c r="J221" s="80" t="s">
        <v>99</v>
      </c>
      <c r="K221" s="17" t="s">
        <v>100</v>
      </c>
      <c r="L221" s="80" t="s">
        <v>108</v>
      </c>
      <c r="M221" s="17" t="s">
        <v>100</v>
      </c>
      <c r="N221" s="8"/>
      <c r="O221" s="88"/>
      <c r="P221" s="5"/>
    </row>
    <row r="222" spans="1:17" ht="15.6" x14ac:dyDescent="0.3">
      <c r="A222" s="24"/>
      <c r="B222" s="53" t="s">
        <v>85</v>
      </c>
      <c r="C222" s="89"/>
      <c r="D222" s="89"/>
      <c r="E222" s="89"/>
      <c r="F222" s="89"/>
      <c r="G222" s="89"/>
      <c r="H222" s="89"/>
      <c r="I222" s="89"/>
      <c r="J222" s="53">
        <v>3914</v>
      </c>
      <c r="K222" s="90">
        <f t="shared" ref="K222:K234" si="1">J222/$J$236</f>
        <v>0.92267798208392271</v>
      </c>
      <c r="L222" s="52">
        <v>163970</v>
      </c>
      <c r="M222" s="125">
        <f t="shared" ref="M222:M234" si="2">L222/$L$236</f>
        <v>0.89355487376228182</v>
      </c>
      <c r="N222" s="77"/>
      <c r="O222" s="85"/>
      <c r="P222" s="5"/>
    </row>
    <row r="223" spans="1:17" ht="15.6" x14ac:dyDescent="0.3">
      <c r="A223" s="24"/>
      <c r="B223" s="53" t="s">
        <v>86</v>
      </c>
      <c r="C223" s="89"/>
      <c r="D223" s="89"/>
      <c r="E223" s="89"/>
      <c r="F223" s="89"/>
      <c r="G223" s="89"/>
      <c r="H223" s="89"/>
      <c r="I223" s="89"/>
      <c r="J223" s="53">
        <v>158</v>
      </c>
      <c r="K223" s="90">
        <f t="shared" si="1"/>
        <v>3.7246581801037244E-2</v>
      </c>
      <c r="L223" s="52">
        <v>8801</v>
      </c>
      <c r="M223" s="125">
        <f t="shared" si="2"/>
        <v>4.7961068756369109E-2</v>
      </c>
      <c r="N223" s="77"/>
      <c r="O223" s="85"/>
      <c r="P223" s="5"/>
      <c r="Q223" s="104"/>
    </row>
    <row r="224" spans="1:17" ht="15.6" x14ac:dyDescent="0.3">
      <c r="A224" s="24"/>
      <c r="B224" s="53" t="s">
        <v>87</v>
      </c>
      <c r="C224" s="89"/>
      <c r="D224" s="89"/>
      <c r="E224" s="89"/>
      <c r="F224" s="89"/>
      <c r="G224" s="89"/>
      <c r="H224" s="89"/>
      <c r="I224" s="89"/>
      <c r="J224" s="53">
        <v>52</v>
      </c>
      <c r="K224" s="90">
        <f t="shared" si="1"/>
        <v>1.2258368694012258E-2</v>
      </c>
      <c r="L224" s="52">
        <v>2672</v>
      </c>
      <c r="M224" s="125">
        <f t="shared" si="2"/>
        <v>1.4561069846269543E-2</v>
      </c>
      <c r="N224" s="77"/>
      <c r="O224" s="85"/>
      <c r="P224" s="5"/>
    </row>
    <row r="225" spans="1:17" ht="15.6" x14ac:dyDescent="0.3">
      <c r="A225" s="24"/>
      <c r="B225" s="53" t="s">
        <v>145</v>
      </c>
      <c r="C225" s="89"/>
      <c r="D225" s="89"/>
      <c r="E225" s="89"/>
      <c r="F225" s="89"/>
      <c r="G225" s="89"/>
      <c r="H225" s="89"/>
      <c r="I225" s="89"/>
      <c r="J225" s="53">
        <v>34</v>
      </c>
      <c r="K225" s="90">
        <f t="shared" si="1"/>
        <v>8.0150872230080154E-3</v>
      </c>
      <c r="L225" s="52">
        <v>1595</v>
      </c>
      <c r="M225" s="125">
        <f t="shared" si="2"/>
        <v>8.6919559898203293E-3</v>
      </c>
      <c r="N225" s="77"/>
      <c r="O225" s="85"/>
      <c r="P225" s="5"/>
      <c r="Q225" s="104"/>
    </row>
    <row r="226" spans="1:17" ht="15.6" x14ac:dyDescent="0.3">
      <c r="A226" s="24"/>
      <c r="B226" s="53" t="s">
        <v>146</v>
      </c>
      <c r="C226" s="89"/>
      <c r="D226" s="89"/>
      <c r="E226" s="89"/>
      <c r="F226" s="89"/>
      <c r="G226" s="89"/>
      <c r="H226" s="89"/>
      <c r="I226" s="89"/>
      <c r="J226" s="53">
        <v>18</v>
      </c>
      <c r="K226" s="90">
        <f t="shared" si="1"/>
        <v>4.2432814710042432E-3</v>
      </c>
      <c r="L226" s="52">
        <v>1038</v>
      </c>
      <c r="M226" s="125">
        <f t="shared" si="2"/>
        <v>5.6565832711181832E-3</v>
      </c>
      <c r="N226" s="77"/>
      <c r="O226" s="85"/>
      <c r="P226" s="5"/>
    </row>
    <row r="227" spans="1:17" ht="15.6" x14ac:dyDescent="0.3">
      <c r="A227" s="24"/>
      <c r="B227" s="53" t="s">
        <v>147</v>
      </c>
      <c r="C227" s="89"/>
      <c r="D227" s="89"/>
      <c r="E227" s="89"/>
      <c r="F227" s="89"/>
      <c r="G227" s="89"/>
      <c r="H227" s="89"/>
      <c r="I227" s="89"/>
      <c r="J227" s="53">
        <v>13</v>
      </c>
      <c r="K227" s="90">
        <f t="shared" si="1"/>
        <v>3.0645921735030644E-3</v>
      </c>
      <c r="L227" s="52">
        <v>568</v>
      </c>
      <c r="M227" s="125">
        <f t="shared" si="2"/>
        <v>3.095317242769873E-3</v>
      </c>
      <c r="N227" s="77"/>
      <c r="O227" s="85"/>
      <c r="P227" s="5"/>
      <c r="Q227" s="104"/>
    </row>
    <row r="228" spans="1:17" ht="15.6" x14ac:dyDescent="0.3">
      <c r="A228" s="24"/>
      <c r="B228" s="53" t="s">
        <v>227</v>
      </c>
      <c r="C228" s="89"/>
      <c r="D228" s="89"/>
      <c r="E228" s="89"/>
      <c r="F228" s="89"/>
      <c r="G228" s="89"/>
      <c r="H228" s="89"/>
      <c r="I228" s="89"/>
      <c r="J228" s="53">
        <v>26</v>
      </c>
      <c r="K228" s="90">
        <f t="shared" si="1"/>
        <v>6.1291843470061289E-3</v>
      </c>
      <c r="L228" s="52">
        <v>1557</v>
      </c>
      <c r="M228" s="125">
        <f t="shared" si="2"/>
        <v>8.4848749066772748E-3</v>
      </c>
      <c r="N228" s="77"/>
      <c r="O228" s="85"/>
      <c r="P228" s="5"/>
    </row>
    <row r="229" spans="1:17" ht="15.6" x14ac:dyDescent="0.3">
      <c r="A229" s="24"/>
      <c r="B229" s="53" t="s">
        <v>228</v>
      </c>
      <c r="C229" s="89"/>
      <c r="D229" s="89"/>
      <c r="E229" s="89"/>
      <c r="F229" s="89"/>
      <c r="G229" s="89"/>
      <c r="H229" s="89"/>
      <c r="I229" s="89"/>
      <c r="J229" s="53">
        <v>11</v>
      </c>
      <c r="K229" s="90">
        <f t="shared" si="1"/>
        <v>2.593116454502593E-3</v>
      </c>
      <c r="L229" s="52">
        <v>977</v>
      </c>
      <c r="M229" s="125">
        <f t="shared" si="2"/>
        <v>5.3241636376517004E-3</v>
      </c>
      <c r="N229" s="77"/>
      <c r="O229" s="85"/>
      <c r="P229" s="5"/>
      <c r="Q229" s="104"/>
    </row>
    <row r="230" spans="1:17" ht="15.6" x14ac:dyDescent="0.3">
      <c r="A230" s="24"/>
      <c r="B230" s="53" t="s">
        <v>229</v>
      </c>
      <c r="C230" s="89"/>
      <c r="D230" s="89"/>
      <c r="E230" s="89"/>
      <c r="F230" s="89"/>
      <c r="G230" s="89"/>
      <c r="H230" s="89"/>
      <c r="I230" s="89"/>
      <c r="J230" s="53">
        <v>8</v>
      </c>
      <c r="K230" s="90">
        <f t="shared" si="1"/>
        <v>1.8859028760018859E-3</v>
      </c>
      <c r="L230" s="52">
        <v>1718</v>
      </c>
      <c r="M230" s="125">
        <f t="shared" si="2"/>
        <v>9.3622447589412714E-3</v>
      </c>
      <c r="N230" s="77"/>
      <c r="O230" s="85"/>
      <c r="P230" s="5"/>
      <c r="Q230" s="104"/>
    </row>
    <row r="231" spans="1:17" ht="15.6" x14ac:dyDescent="0.3">
      <c r="A231" s="24"/>
      <c r="B231" s="53" t="s">
        <v>230</v>
      </c>
      <c r="C231" s="89"/>
      <c r="D231" s="89"/>
      <c r="E231" s="89"/>
      <c r="F231" s="89"/>
      <c r="G231" s="89"/>
      <c r="H231" s="89"/>
      <c r="I231" s="89"/>
      <c r="J231" s="53">
        <v>2</v>
      </c>
      <c r="K231" s="90">
        <f t="shared" si="1"/>
        <v>4.7147571900047147E-4</v>
      </c>
      <c r="L231" s="52">
        <v>157</v>
      </c>
      <c r="M231" s="125">
        <f t="shared" si="2"/>
        <v>8.555718435120952E-4</v>
      </c>
      <c r="N231" s="77"/>
      <c r="O231" s="85"/>
      <c r="P231" s="5"/>
      <c r="Q231" s="104"/>
    </row>
    <row r="232" spans="1:17" ht="15.6" x14ac:dyDescent="0.3">
      <c r="A232" s="24"/>
      <c r="B232" s="53" t="s">
        <v>231</v>
      </c>
      <c r="C232" s="89"/>
      <c r="D232" s="89"/>
      <c r="E232" s="89"/>
      <c r="F232" s="89"/>
      <c r="G232" s="89"/>
      <c r="H232" s="89"/>
      <c r="I232" s="89"/>
      <c r="J232" s="53">
        <v>2</v>
      </c>
      <c r="K232" s="90">
        <f t="shared" si="1"/>
        <v>4.7147571900047147E-4</v>
      </c>
      <c r="L232" s="52">
        <v>168</v>
      </c>
      <c r="M232" s="125">
        <f t="shared" si="2"/>
        <v>9.1551636757982162E-4</v>
      </c>
      <c r="N232" s="77"/>
      <c r="O232" s="85"/>
      <c r="P232" s="5"/>
      <c r="Q232" s="104"/>
    </row>
    <row r="233" spans="1:17" ht="15.6" x14ac:dyDescent="0.3">
      <c r="A233" s="24"/>
      <c r="B233" s="53" t="s">
        <v>232</v>
      </c>
      <c r="C233" s="89"/>
      <c r="D233" s="89"/>
      <c r="E233" s="89"/>
      <c r="F233" s="89"/>
      <c r="G233" s="89"/>
      <c r="H233" s="89"/>
      <c r="I233" s="89"/>
      <c r="J233" s="53">
        <v>1</v>
      </c>
      <c r="K233" s="90">
        <f t="shared" si="1"/>
        <v>2.3573785950023574E-4</v>
      </c>
      <c r="L233" s="52">
        <v>187</v>
      </c>
      <c r="M233" s="125">
        <f t="shared" si="2"/>
        <v>1.019056909151349E-3</v>
      </c>
      <c r="N233" s="77"/>
      <c r="O233" s="85"/>
      <c r="P233" s="5"/>
      <c r="Q233" s="104"/>
    </row>
    <row r="234" spans="1:17" ht="15.6" x14ac:dyDescent="0.3">
      <c r="A234" s="24"/>
      <c r="B234" s="53" t="s">
        <v>233</v>
      </c>
      <c r="C234" s="89"/>
      <c r="D234" s="89"/>
      <c r="E234" s="89"/>
      <c r="F234" s="89"/>
      <c r="G234" s="89"/>
      <c r="H234" s="89"/>
      <c r="I234" s="89"/>
      <c r="J234" s="53">
        <v>3</v>
      </c>
      <c r="K234" s="90">
        <f t="shared" si="1"/>
        <v>7.0721357850070724E-4</v>
      </c>
      <c r="L234" s="52">
        <v>95</v>
      </c>
      <c r="M234" s="125">
        <f t="shared" si="2"/>
        <v>5.1770270785763718E-4</v>
      </c>
      <c r="N234" s="77"/>
      <c r="O234" s="85"/>
      <c r="P234" s="5"/>
      <c r="Q234" s="104"/>
    </row>
    <row r="235" spans="1:17" ht="15.6" x14ac:dyDescent="0.3">
      <c r="A235" s="24"/>
      <c r="B235" s="53"/>
      <c r="C235" s="89"/>
      <c r="D235" s="89"/>
      <c r="E235" s="89"/>
      <c r="F235" s="89"/>
      <c r="G235" s="89"/>
      <c r="H235" s="89"/>
      <c r="I235" s="89"/>
      <c r="J235" s="53"/>
      <c r="K235" s="90"/>
      <c r="L235" s="52"/>
      <c r="M235" s="125"/>
      <c r="N235" s="77"/>
      <c r="O235" s="85"/>
      <c r="P235" s="5"/>
      <c r="Q235" s="104"/>
    </row>
    <row r="236" spans="1:17" ht="15.6" x14ac:dyDescent="0.3">
      <c r="A236" s="24"/>
      <c r="B236" s="25"/>
      <c r="C236" s="25"/>
      <c r="D236" s="91"/>
      <c r="E236" s="91"/>
      <c r="F236" s="91"/>
      <c r="G236" s="91"/>
      <c r="H236" s="91"/>
      <c r="I236" s="91"/>
      <c r="J236" s="34">
        <f>SUM(J222:J235)</f>
        <v>4242</v>
      </c>
      <c r="K236" s="125">
        <f>SUM(K222:K235)</f>
        <v>1.0000000000000002</v>
      </c>
      <c r="L236" s="52">
        <f>SUM(L222:L235)</f>
        <v>183503</v>
      </c>
      <c r="M236" s="125">
        <f>SUM(M222:M235)</f>
        <v>1</v>
      </c>
      <c r="N236" s="25"/>
      <c r="O236" s="25"/>
      <c r="P236" s="5"/>
    </row>
    <row r="237" spans="1:17" ht="15.6" x14ac:dyDescent="0.3">
      <c r="A237" s="24"/>
      <c r="B237" s="25"/>
      <c r="C237" s="25"/>
      <c r="D237" s="91"/>
      <c r="E237" s="91"/>
      <c r="F237" s="91"/>
      <c r="G237" s="91"/>
      <c r="H237" s="91"/>
      <c r="I237" s="91"/>
      <c r="J237" s="34"/>
      <c r="K237" s="125"/>
      <c r="L237" s="52"/>
      <c r="M237" s="125"/>
      <c r="N237" s="25"/>
      <c r="O237" s="25"/>
      <c r="P237" s="5"/>
    </row>
    <row r="238" spans="1:17" ht="15.6" x14ac:dyDescent="0.3">
      <c r="A238" s="133"/>
      <c r="B238" s="14" t="s">
        <v>204</v>
      </c>
      <c r="C238" s="79"/>
      <c r="D238" s="17"/>
      <c r="E238" s="17"/>
      <c r="F238" s="17"/>
      <c r="G238" s="17"/>
      <c r="H238" s="17"/>
      <c r="I238" s="17"/>
      <c r="J238" s="80" t="s">
        <v>99</v>
      </c>
      <c r="K238" s="17" t="s">
        <v>100</v>
      </c>
      <c r="L238" s="80" t="s">
        <v>108</v>
      </c>
      <c r="M238" s="17" t="s">
        <v>100</v>
      </c>
      <c r="N238" s="131"/>
      <c r="O238" s="132"/>
      <c r="P238" s="5"/>
    </row>
    <row r="239" spans="1:17" ht="15.6" x14ac:dyDescent="0.3">
      <c r="A239" s="24"/>
      <c r="B239" s="53" t="s">
        <v>85</v>
      </c>
      <c r="C239" s="89"/>
      <c r="D239" s="89"/>
      <c r="E239" s="89"/>
      <c r="F239" s="89"/>
      <c r="G239" s="89"/>
      <c r="H239" s="89"/>
      <c r="I239" s="89"/>
      <c r="J239" s="53">
        <v>0</v>
      </c>
      <c r="K239" s="90">
        <v>0</v>
      </c>
      <c r="L239" s="52">
        <v>0</v>
      </c>
      <c r="M239" s="125">
        <v>0</v>
      </c>
      <c r="N239" s="25"/>
      <c r="O239" s="25"/>
      <c r="P239" s="5"/>
    </row>
    <row r="240" spans="1:17" ht="15.6" x14ac:dyDescent="0.3">
      <c r="A240" s="24"/>
      <c r="B240" s="53" t="s">
        <v>86</v>
      </c>
      <c r="C240" s="89"/>
      <c r="D240" s="89"/>
      <c r="E240" s="89"/>
      <c r="F240" s="89"/>
      <c r="G240" s="89"/>
      <c r="H240" s="89"/>
      <c r="I240" s="89"/>
      <c r="J240" s="53">
        <v>0</v>
      </c>
      <c r="K240" s="90">
        <v>0</v>
      </c>
      <c r="L240" s="52">
        <v>0</v>
      </c>
      <c r="M240" s="125">
        <v>0</v>
      </c>
      <c r="N240" s="25"/>
      <c r="O240" s="25"/>
      <c r="P240" s="5"/>
    </row>
    <row r="241" spans="1:16" ht="15.6" x14ac:dyDescent="0.3">
      <c r="A241" s="24"/>
      <c r="B241" s="53" t="s">
        <v>87</v>
      </c>
      <c r="C241" s="89"/>
      <c r="D241" s="89"/>
      <c r="E241" s="89"/>
      <c r="F241" s="89"/>
      <c r="G241" s="89"/>
      <c r="H241" s="89"/>
      <c r="I241" s="89"/>
      <c r="J241" s="53">
        <v>0</v>
      </c>
      <c r="K241" s="90">
        <v>0</v>
      </c>
      <c r="L241" s="52">
        <v>0</v>
      </c>
      <c r="M241" s="125">
        <v>0</v>
      </c>
      <c r="N241" s="25"/>
      <c r="O241" s="25"/>
      <c r="P241" s="5"/>
    </row>
    <row r="242" spans="1:16" ht="15.6" x14ac:dyDescent="0.3">
      <c r="A242" s="24"/>
      <c r="B242" s="53" t="s">
        <v>145</v>
      </c>
      <c r="C242" s="89"/>
      <c r="D242" s="89"/>
      <c r="E242" s="89"/>
      <c r="F242" s="89"/>
      <c r="G242" s="89"/>
      <c r="H242" s="89"/>
      <c r="I242" s="89"/>
      <c r="J242" s="53">
        <v>0</v>
      </c>
      <c r="K242" s="90">
        <v>0</v>
      </c>
      <c r="L242" s="52">
        <v>0</v>
      </c>
      <c r="M242" s="125">
        <v>0</v>
      </c>
      <c r="N242" s="25"/>
      <c r="O242" s="25"/>
      <c r="P242" s="5"/>
    </row>
    <row r="243" spans="1:16" ht="15.6" x14ac:dyDescent="0.3">
      <c r="A243" s="24"/>
      <c r="B243" s="53" t="s">
        <v>146</v>
      </c>
      <c r="C243" s="89"/>
      <c r="D243" s="89"/>
      <c r="E243" s="89"/>
      <c r="F243" s="89"/>
      <c r="G243" s="89"/>
      <c r="H243" s="89"/>
      <c r="I243" s="89"/>
      <c r="J243" s="53">
        <v>0</v>
      </c>
      <c r="K243" s="90">
        <v>0</v>
      </c>
      <c r="L243" s="52">
        <v>0</v>
      </c>
      <c r="M243" s="125">
        <v>0</v>
      </c>
      <c r="N243" s="25"/>
      <c r="O243" s="25"/>
      <c r="P243" s="5"/>
    </row>
    <row r="244" spans="1:16" ht="15.6" x14ac:dyDescent="0.3">
      <c r="A244" s="24"/>
      <c r="B244" s="53" t="s">
        <v>147</v>
      </c>
      <c r="C244" s="89"/>
      <c r="D244" s="89"/>
      <c r="E244" s="89"/>
      <c r="F244" s="89"/>
      <c r="G244" s="89"/>
      <c r="H244" s="89"/>
      <c r="I244" s="89"/>
      <c r="J244" s="53">
        <v>0</v>
      </c>
      <c r="K244" s="90">
        <v>0</v>
      </c>
      <c r="L244" s="52">
        <v>0</v>
      </c>
      <c r="M244" s="125">
        <v>0</v>
      </c>
      <c r="N244" s="25"/>
      <c r="O244" s="25"/>
      <c r="P244" s="5"/>
    </row>
    <row r="245" spans="1:16" ht="15.6" x14ac:dyDescent="0.3">
      <c r="A245" s="24"/>
      <c r="B245" s="53" t="s">
        <v>227</v>
      </c>
      <c r="C245" s="89"/>
      <c r="D245" s="89"/>
      <c r="E245" s="89"/>
      <c r="F245" s="89"/>
      <c r="G245" s="89"/>
      <c r="H245" s="89"/>
      <c r="I245" s="89"/>
      <c r="J245" s="53">
        <v>0</v>
      </c>
      <c r="K245" s="90">
        <v>0</v>
      </c>
      <c r="L245" s="52">
        <v>0</v>
      </c>
      <c r="M245" s="125">
        <v>0</v>
      </c>
      <c r="N245" s="25"/>
      <c r="O245" s="25"/>
      <c r="P245" s="5"/>
    </row>
    <row r="246" spans="1:16" ht="15.6" x14ac:dyDescent="0.3">
      <c r="A246" s="24"/>
      <c r="B246" s="53" t="s">
        <v>228</v>
      </c>
      <c r="C246" s="89"/>
      <c r="D246" s="89"/>
      <c r="E246" s="89"/>
      <c r="F246" s="89"/>
      <c r="G246" s="89"/>
      <c r="H246" s="89"/>
      <c r="I246" s="89"/>
      <c r="J246" s="53">
        <v>0</v>
      </c>
      <c r="K246" s="90">
        <v>0</v>
      </c>
      <c r="L246" s="52">
        <v>0</v>
      </c>
      <c r="M246" s="125">
        <v>0</v>
      </c>
      <c r="N246" s="25"/>
      <c r="O246" s="25"/>
      <c r="P246" s="5"/>
    </row>
    <row r="247" spans="1:16" ht="15.6" x14ac:dyDescent="0.3">
      <c r="A247" s="24"/>
      <c r="B247" s="53" t="s">
        <v>229</v>
      </c>
      <c r="C247" s="89"/>
      <c r="D247" s="89"/>
      <c r="E247" s="89"/>
      <c r="F247" s="89"/>
      <c r="G247" s="89"/>
      <c r="H247" s="89"/>
      <c r="I247" s="89"/>
      <c r="J247" s="53">
        <v>0</v>
      </c>
      <c r="K247" s="90">
        <v>0</v>
      </c>
      <c r="L247" s="52">
        <v>0</v>
      </c>
      <c r="M247" s="125">
        <v>0</v>
      </c>
      <c r="N247" s="25"/>
      <c r="O247" s="25"/>
      <c r="P247" s="5"/>
    </row>
    <row r="248" spans="1:16" ht="15.6" x14ac:dyDescent="0.3">
      <c r="A248" s="24"/>
      <c r="B248" s="53" t="s">
        <v>230</v>
      </c>
      <c r="C248" s="89"/>
      <c r="D248" s="89"/>
      <c r="E248" s="89"/>
      <c r="F248" s="89"/>
      <c r="G248" s="89"/>
      <c r="H248" s="89"/>
      <c r="I248" s="89"/>
      <c r="J248" s="53">
        <v>0</v>
      </c>
      <c r="K248" s="90">
        <v>0</v>
      </c>
      <c r="L248" s="52">
        <v>0</v>
      </c>
      <c r="M248" s="125">
        <v>0</v>
      </c>
      <c r="N248" s="25"/>
      <c r="O248" s="25"/>
      <c r="P248" s="5"/>
    </row>
    <row r="249" spans="1:16" ht="15.6" x14ac:dyDescent="0.3">
      <c r="A249" s="24"/>
      <c r="B249" s="53" t="s">
        <v>231</v>
      </c>
      <c r="C249" s="89"/>
      <c r="D249" s="89"/>
      <c r="E249" s="89"/>
      <c r="F249" s="89"/>
      <c r="G249" s="89"/>
      <c r="H249" s="89"/>
      <c r="I249" s="89"/>
      <c r="J249" s="53">
        <v>0</v>
      </c>
      <c r="K249" s="90">
        <v>0</v>
      </c>
      <c r="L249" s="52">
        <v>0</v>
      </c>
      <c r="M249" s="125">
        <v>0</v>
      </c>
      <c r="N249" s="25"/>
      <c r="O249" s="25"/>
      <c r="P249" s="5"/>
    </row>
    <row r="250" spans="1:16" ht="15.6" x14ac:dyDescent="0.3">
      <c r="A250" s="24"/>
      <c r="B250" s="53" t="s">
        <v>232</v>
      </c>
      <c r="C250" s="89"/>
      <c r="D250" s="89"/>
      <c r="E250" s="89"/>
      <c r="F250" s="89"/>
      <c r="G250" s="89"/>
      <c r="H250" s="89"/>
      <c r="I250" s="89"/>
      <c r="J250" s="53">
        <v>0</v>
      </c>
      <c r="K250" s="90">
        <v>0</v>
      </c>
      <c r="L250" s="52">
        <v>0</v>
      </c>
      <c r="M250" s="125">
        <v>0</v>
      </c>
      <c r="N250" s="25"/>
      <c r="O250" s="25"/>
      <c r="P250" s="5"/>
    </row>
    <row r="251" spans="1:16" ht="15.6" x14ac:dyDescent="0.3">
      <c r="A251" s="24"/>
      <c r="B251" s="53" t="s">
        <v>233</v>
      </c>
      <c r="C251" s="89"/>
      <c r="D251" s="89"/>
      <c r="E251" s="89"/>
      <c r="F251" s="89"/>
      <c r="G251" s="89"/>
      <c r="H251" s="89"/>
      <c r="I251" s="89"/>
      <c r="J251" s="53">
        <v>0</v>
      </c>
      <c r="K251" s="90">
        <v>0</v>
      </c>
      <c r="L251" s="52">
        <v>0</v>
      </c>
      <c r="M251" s="125">
        <v>0</v>
      </c>
      <c r="N251" s="25"/>
      <c r="O251" s="25"/>
      <c r="P251" s="5"/>
    </row>
    <row r="252" spans="1:16" ht="15.6" x14ac:dyDescent="0.3">
      <c r="A252" s="24"/>
      <c r="B252" s="53"/>
      <c r="C252" s="89"/>
      <c r="D252" s="89"/>
      <c r="E252" s="89"/>
      <c r="F252" s="89"/>
      <c r="G252" s="89"/>
      <c r="H252" s="89"/>
      <c r="I252" s="89"/>
      <c r="J252" s="53"/>
      <c r="K252" s="90"/>
      <c r="L252" s="52"/>
      <c r="M252" s="125"/>
      <c r="N252" s="25"/>
      <c r="O252" s="25"/>
      <c r="P252" s="5"/>
    </row>
    <row r="253" spans="1:16" ht="15.6" x14ac:dyDescent="0.3">
      <c r="A253" s="24"/>
      <c r="B253" s="25"/>
      <c r="C253" s="25"/>
      <c r="D253" s="91"/>
      <c r="E253" s="91"/>
      <c r="F253" s="91"/>
      <c r="G253" s="91"/>
      <c r="H253" s="91"/>
      <c r="I253" s="91"/>
      <c r="J253" s="34">
        <f>SUM(J239:J252)</f>
        <v>0</v>
      </c>
      <c r="K253" s="125">
        <f>SUM(K239:K252)</f>
        <v>0</v>
      </c>
      <c r="L253" s="52">
        <f>SUM(L239:L252)</f>
        <v>0</v>
      </c>
      <c r="M253" s="125">
        <f>SUM(M239:M252)</f>
        <v>0</v>
      </c>
      <c r="N253" s="25"/>
      <c r="O253" s="25"/>
      <c r="P253" s="5"/>
    </row>
    <row r="254" spans="1:16" ht="15.6" x14ac:dyDescent="0.3">
      <c r="A254" s="24"/>
      <c r="B254" s="25"/>
      <c r="C254" s="25"/>
      <c r="D254" s="91"/>
      <c r="E254" s="91"/>
      <c r="F254" s="91"/>
      <c r="G254" s="91"/>
      <c r="H254" s="91"/>
      <c r="I254" s="91"/>
      <c r="J254" s="34"/>
      <c r="K254" s="125"/>
      <c r="L254" s="52"/>
      <c r="M254" s="125"/>
      <c r="N254" s="25"/>
      <c r="O254" s="25"/>
      <c r="P254" s="5"/>
    </row>
    <row r="255" spans="1:16" ht="15.6" x14ac:dyDescent="0.3">
      <c r="A255" s="133"/>
      <c r="B255" s="14" t="s">
        <v>150</v>
      </c>
      <c r="C255" s="131"/>
      <c r="D255" s="137"/>
      <c r="E255" s="137"/>
      <c r="F255" s="137"/>
      <c r="G255" s="137"/>
      <c r="H255" s="137"/>
      <c r="I255" s="137"/>
      <c r="J255" s="80" t="s">
        <v>99</v>
      </c>
      <c r="K255" s="17" t="s">
        <v>100</v>
      </c>
      <c r="L255" s="80" t="s">
        <v>108</v>
      </c>
      <c r="M255" s="17" t="s">
        <v>100</v>
      </c>
      <c r="N255" s="131"/>
      <c r="O255" s="132"/>
      <c r="P255" s="5"/>
    </row>
    <row r="256" spans="1:16" ht="15.6" x14ac:dyDescent="0.3">
      <c r="A256" s="24"/>
      <c r="B256" s="53" t="s">
        <v>85</v>
      </c>
      <c r="C256" s="25"/>
      <c r="D256" s="91"/>
      <c r="E256" s="91"/>
      <c r="F256" s="91"/>
      <c r="G256" s="91"/>
      <c r="H256" s="91"/>
      <c r="I256" s="91"/>
      <c r="J256" s="53">
        <v>0</v>
      </c>
      <c r="K256" s="90">
        <v>0</v>
      </c>
      <c r="L256" s="52">
        <v>0</v>
      </c>
      <c r="M256" s="125">
        <v>0</v>
      </c>
      <c r="N256" s="25"/>
      <c r="O256" s="25"/>
      <c r="P256" s="5"/>
    </row>
    <row r="257" spans="1:16" ht="15.6" x14ac:dyDescent="0.3">
      <c r="A257" s="24"/>
      <c r="B257" s="53" t="s">
        <v>86</v>
      </c>
      <c r="C257" s="25"/>
      <c r="D257" s="91"/>
      <c r="E257" s="91"/>
      <c r="F257" s="91"/>
      <c r="G257" s="91"/>
      <c r="H257" s="91"/>
      <c r="I257" s="91"/>
      <c r="J257" s="53">
        <v>0</v>
      </c>
      <c r="K257" s="90">
        <v>0</v>
      </c>
      <c r="L257" s="52">
        <v>0</v>
      </c>
      <c r="M257" s="125">
        <v>0</v>
      </c>
      <c r="N257" s="25"/>
      <c r="O257" s="25"/>
      <c r="P257" s="5"/>
    </row>
    <row r="258" spans="1:16" ht="15.6" x14ac:dyDescent="0.3">
      <c r="A258" s="24"/>
      <c r="B258" s="53" t="s">
        <v>87</v>
      </c>
      <c r="C258" s="25"/>
      <c r="D258" s="91"/>
      <c r="E258" s="91"/>
      <c r="F258" s="91"/>
      <c r="G258" s="91"/>
      <c r="H258" s="91"/>
      <c r="I258" s="91"/>
      <c r="J258" s="53">
        <v>0</v>
      </c>
      <c r="K258" s="90">
        <v>0</v>
      </c>
      <c r="L258" s="52">
        <v>0</v>
      </c>
      <c r="M258" s="125">
        <v>0</v>
      </c>
      <c r="N258" s="25"/>
      <c r="O258" s="25"/>
      <c r="P258" s="5"/>
    </row>
    <row r="259" spans="1:16" ht="15.6" x14ac:dyDescent="0.3">
      <c r="A259" s="24"/>
      <c r="B259" s="53" t="s">
        <v>145</v>
      </c>
      <c r="C259" s="25"/>
      <c r="D259" s="91"/>
      <c r="E259" s="91"/>
      <c r="F259" s="91"/>
      <c r="G259" s="91"/>
      <c r="H259" s="91"/>
      <c r="I259" s="91"/>
      <c r="J259" s="53">
        <v>0</v>
      </c>
      <c r="K259" s="90">
        <v>0</v>
      </c>
      <c r="L259" s="52">
        <v>0</v>
      </c>
      <c r="M259" s="125">
        <v>0</v>
      </c>
      <c r="N259" s="25"/>
      <c r="O259" s="25"/>
      <c r="P259" s="5"/>
    </row>
    <row r="260" spans="1:16" ht="15.6" x14ac:dyDescent="0.3">
      <c r="A260" s="24"/>
      <c r="B260" s="53" t="s">
        <v>146</v>
      </c>
      <c r="C260" s="25"/>
      <c r="D260" s="91"/>
      <c r="E260" s="91"/>
      <c r="F260" s="91"/>
      <c r="G260" s="91"/>
      <c r="H260" s="91"/>
      <c r="I260" s="91"/>
      <c r="J260" s="53">
        <v>0</v>
      </c>
      <c r="K260" s="90">
        <v>0</v>
      </c>
      <c r="L260" s="52">
        <v>0</v>
      </c>
      <c r="M260" s="125">
        <v>0</v>
      </c>
      <c r="N260" s="25"/>
      <c r="O260" s="25"/>
      <c r="P260" s="5"/>
    </row>
    <row r="261" spans="1:16" ht="15.6" x14ac:dyDescent="0.3">
      <c r="A261" s="24"/>
      <c r="B261" s="53" t="s">
        <v>147</v>
      </c>
      <c r="C261" s="25"/>
      <c r="D261" s="91"/>
      <c r="E261" s="91"/>
      <c r="F261" s="91"/>
      <c r="G261" s="91"/>
      <c r="H261" s="91"/>
      <c r="I261" s="91"/>
      <c r="J261" s="53">
        <v>0</v>
      </c>
      <c r="K261" s="90">
        <v>0</v>
      </c>
      <c r="L261" s="52">
        <v>0</v>
      </c>
      <c r="M261" s="125">
        <v>0</v>
      </c>
      <c r="N261" s="25"/>
      <c r="O261" s="25"/>
      <c r="P261" s="5"/>
    </row>
    <row r="262" spans="1:16" ht="15.6" x14ac:dyDescent="0.3">
      <c r="A262" s="24"/>
      <c r="B262" s="53" t="s">
        <v>227</v>
      </c>
      <c r="C262" s="25"/>
      <c r="D262" s="91"/>
      <c r="E262" s="91"/>
      <c r="F262" s="91"/>
      <c r="G262" s="91"/>
      <c r="H262" s="91"/>
      <c r="I262" s="91"/>
      <c r="J262" s="53">
        <v>0</v>
      </c>
      <c r="K262" s="90">
        <v>0</v>
      </c>
      <c r="L262" s="52">
        <v>0</v>
      </c>
      <c r="M262" s="125">
        <v>0</v>
      </c>
      <c r="N262" s="25"/>
      <c r="O262" s="25"/>
      <c r="P262" s="5"/>
    </row>
    <row r="263" spans="1:16" ht="15.6" x14ac:dyDescent="0.3">
      <c r="A263" s="24"/>
      <c r="B263" s="53" t="s">
        <v>228</v>
      </c>
      <c r="C263" s="25"/>
      <c r="D263" s="91"/>
      <c r="E263" s="91"/>
      <c r="F263" s="91"/>
      <c r="G263" s="91"/>
      <c r="H263" s="91"/>
      <c r="I263" s="91"/>
      <c r="J263" s="53">
        <v>0</v>
      </c>
      <c r="K263" s="90">
        <v>0</v>
      </c>
      <c r="L263" s="52">
        <v>0</v>
      </c>
      <c r="M263" s="125">
        <v>0</v>
      </c>
      <c r="N263" s="25"/>
      <c r="O263" s="25"/>
      <c r="P263" s="5"/>
    </row>
    <row r="264" spans="1:16" ht="15.6" x14ac:dyDescent="0.3">
      <c r="A264" s="24"/>
      <c r="B264" s="53" t="s">
        <v>229</v>
      </c>
      <c r="C264" s="25"/>
      <c r="D264" s="91"/>
      <c r="E264" s="91"/>
      <c r="F264" s="91"/>
      <c r="G264" s="91"/>
      <c r="H264" s="91"/>
      <c r="I264" s="91"/>
      <c r="J264" s="53">
        <v>0</v>
      </c>
      <c r="K264" s="90">
        <v>0</v>
      </c>
      <c r="L264" s="52">
        <v>0</v>
      </c>
      <c r="M264" s="125">
        <v>0</v>
      </c>
      <c r="N264" s="25"/>
      <c r="O264" s="25"/>
      <c r="P264" s="5"/>
    </row>
    <row r="265" spans="1:16" ht="15.6" x14ac:dyDescent="0.3">
      <c r="A265" s="24"/>
      <c r="B265" s="53" t="s">
        <v>230</v>
      </c>
      <c r="C265" s="25"/>
      <c r="D265" s="91"/>
      <c r="E265" s="91"/>
      <c r="F265" s="91"/>
      <c r="G265" s="91"/>
      <c r="H265" s="91"/>
      <c r="I265" s="91"/>
      <c r="J265" s="53">
        <v>0</v>
      </c>
      <c r="K265" s="90">
        <v>0</v>
      </c>
      <c r="L265" s="52">
        <v>0</v>
      </c>
      <c r="M265" s="125">
        <v>0</v>
      </c>
      <c r="N265" s="25"/>
      <c r="O265" s="25"/>
      <c r="P265" s="5"/>
    </row>
    <row r="266" spans="1:16" ht="15.6" x14ac:dyDescent="0.3">
      <c r="A266" s="24"/>
      <c r="B266" s="53" t="s">
        <v>231</v>
      </c>
      <c r="C266" s="25"/>
      <c r="D266" s="91"/>
      <c r="E266" s="91"/>
      <c r="F266" s="91"/>
      <c r="G266" s="91"/>
      <c r="H266" s="91"/>
      <c r="I266" s="91"/>
      <c r="J266" s="53">
        <v>0</v>
      </c>
      <c r="K266" s="90">
        <v>0</v>
      </c>
      <c r="L266" s="52">
        <v>0</v>
      </c>
      <c r="M266" s="125">
        <v>0</v>
      </c>
      <c r="N266" s="25"/>
      <c r="O266" s="25"/>
      <c r="P266" s="5"/>
    </row>
    <row r="267" spans="1:16" ht="15.6" x14ac:dyDescent="0.3">
      <c r="A267" s="24"/>
      <c r="B267" s="53" t="s">
        <v>232</v>
      </c>
      <c r="C267" s="25"/>
      <c r="D267" s="91"/>
      <c r="E267" s="91"/>
      <c r="F267" s="91"/>
      <c r="G267" s="91"/>
      <c r="H267" s="91"/>
      <c r="I267" s="91"/>
      <c r="J267" s="53">
        <v>1</v>
      </c>
      <c r="K267" s="90">
        <v>1</v>
      </c>
      <c r="L267" s="52">
        <v>87</v>
      </c>
      <c r="M267" s="125">
        <v>1</v>
      </c>
      <c r="N267" s="25"/>
      <c r="O267" s="25"/>
      <c r="P267" s="5"/>
    </row>
    <row r="268" spans="1:16" ht="15.6" x14ac:dyDescent="0.3">
      <c r="A268" s="24"/>
      <c r="B268" s="53" t="s">
        <v>233</v>
      </c>
      <c r="C268" s="25"/>
      <c r="D268" s="91"/>
      <c r="E268" s="91"/>
      <c r="F268" s="91"/>
      <c r="G268" s="91"/>
      <c r="H268" s="91"/>
      <c r="I268" s="91"/>
      <c r="J268" s="53">
        <v>0</v>
      </c>
      <c r="K268" s="90">
        <v>0</v>
      </c>
      <c r="L268" s="52">
        <v>0</v>
      </c>
      <c r="M268" s="125">
        <v>0</v>
      </c>
      <c r="N268" s="25"/>
      <c r="O268" s="25"/>
      <c r="P268" s="5"/>
    </row>
    <row r="269" spans="1:16" ht="15.6" x14ac:dyDescent="0.3">
      <c r="A269" s="24"/>
      <c r="B269" s="53"/>
      <c r="C269" s="25"/>
      <c r="D269" s="91"/>
      <c r="E269" s="91"/>
      <c r="F269" s="91"/>
      <c r="G269" s="91"/>
      <c r="H269" s="91"/>
      <c r="I269" s="91"/>
      <c r="J269" s="53"/>
      <c r="K269" s="90"/>
      <c r="L269" s="52"/>
      <c r="M269" s="125"/>
      <c r="N269" s="25"/>
      <c r="O269" s="25"/>
      <c r="P269" s="5"/>
    </row>
    <row r="270" spans="1:16" ht="15.6" x14ac:dyDescent="0.3">
      <c r="A270" s="24"/>
      <c r="B270" s="25" t="s">
        <v>114</v>
      </c>
      <c r="C270" s="25"/>
      <c r="D270" s="91"/>
      <c r="E270" s="91"/>
      <c r="F270" s="91"/>
      <c r="G270" s="91"/>
      <c r="H270" s="91"/>
      <c r="I270" s="91"/>
      <c r="J270" s="34">
        <f>SUM(J256:J268)</f>
        <v>1</v>
      </c>
      <c r="K270" s="90">
        <f>SUM(K256:K268)</f>
        <v>1</v>
      </c>
      <c r="L270" s="52">
        <f>SUM(L256:L268)</f>
        <v>87</v>
      </c>
      <c r="M270" s="125">
        <f>SUM(M256:M268)</f>
        <v>1</v>
      </c>
      <c r="N270" s="25"/>
      <c r="O270" s="25"/>
      <c r="P270" s="5"/>
    </row>
    <row r="271" spans="1:16" ht="15.6" x14ac:dyDescent="0.3">
      <c r="A271" s="24"/>
      <c r="B271" s="25"/>
      <c r="C271" s="25"/>
      <c r="D271" s="91"/>
      <c r="E271" s="91"/>
      <c r="F271" s="91"/>
      <c r="G271" s="91"/>
      <c r="H271" s="91"/>
      <c r="I271" s="91"/>
      <c r="J271" s="34"/>
      <c r="K271" s="125"/>
      <c r="L271" s="52"/>
      <c r="M271" s="125"/>
      <c r="N271" s="25"/>
      <c r="O271" s="25"/>
      <c r="P271" s="5"/>
    </row>
    <row r="272" spans="1:16" ht="15.6" x14ac:dyDescent="0.3">
      <c r="A272" s="24"/>
      <c r="B272" s="134" t="s">
        <v>151</v>
      </c>
      <c r="C272" s="25"/>
      <c r="D272" s="91"/>
      <c r="E272" s="91"/>
      <c r="F272" s="91"/>
      <c r="G272" s="91"/>
      <c r="H272" s="91"/>
      <c r="I272" s="91"/>
      <c r="J272" s="149">
        <f>J270+J253+J236</f>
        <v>4243</v>
      </c>
      <c r="K272" s="135"/>
      <c r="L272" s="136">
        <f>+L270+L253+L236</f>
        <v>183590</v>
      </c>
      <c r="M272" s="135"/>
      <c r="N272" s="25"/>
      <c r="O272" s="25"/>
      <c r="P272" s="5"/>
    </row>
    <row r="273" spans="1:16" ht="15.6" x14ac:dyDescent="0.3">
      <c r="A273" s="24"/>
      <c r="B273" s="25"/>
      <c r="C273" s="25"/>
      <c r="D273" s="91"/>
      <c r="E273" s="91"/>
      <c r="F273" s="91"/>
      <c r="G273" s="91"/>
      <c r="H273" s="91"/>
      <c r="I273" s="91"/>
      <c r="J273" s="91"/>
      <c r="K273" s="91"/>
      <c r="L273" s="52"/>
      <c r="M273" s="91"/>
      <c r="N273" s="25"/>
      <c r="O273" s="25"/>
      <c r="P273" s="5"/>
    </row>
    <row r="274" spans="1:16" ht="15.6" x14ac:dyDescent="0.3">
      <c r="A274" s="6"/>
      <c r="B274" s="8"/>
      <c r="C274" s="8"/>
      <c r="D274" s="92"/>
      <c r="E274" s="92"/>
      <c r="F274" s="92"/>
      <c r="G274" s="92"/>
      <c r="H274" s="92"/>
      <c r="I274" s="92"/>
      <c r="J274" s="92"/>
      <c r="K274" s="92"/>
      <c r="L274" s="93"/>
      <c r="M274" s="92"/>
      <c r="N274" s="8"/>
      <c r="O274" s="8"/>
      <c r="P274" s="5"/>
    </row>
    <row r="275" spans="1:16" ht="15.6" x14ac:dyDescent="0.3">
      <c r="A275" s="179"/>
      <c r="B275" s="14" t="s">
        <v>88</v>
      </c>
      <c r="C275" s="15"/>
      <c r="D275" s="17" t="s">
        <v>94</v>
      </c>
      <c r="E275" s="15"/>
      <c r="F275" s="14" t="s">
        <v>96</v>
      </c>
      <c r="G275" s="174"/>
      <c r="H275" s="174"/>
      <c r="I275" s="174"/>
      <c r="J275" s="17"/>
      <c r="K275" s="15"/>
      <c r="L275" s="14"/>
      <c r="M275" s="174"/>
      <c r="N275" s="174"/>
      <c r="O275" s="174"/>
      <c r="P275" s="5"/>
    </row>
    <row r="276" spans="1:16" ht="15.6" x14ac:dyDescent="0.3">
      <c r="A276" s="179"/>
      <c r="B276" s="174"/>
      <c r="C276" s="8"/>
      <c r="D276" s="8"/>
      <c r="E276" s="8"/>
      <c r="F276" s="8"/>
      <c r="G276" s="174"/>
      <c r="H276" s="174"/>
      <c r="I276" s="174"/>
      <c r="J276" s="8"/>
      <c r="K276" s="8"/>
      <c r="L276" s="8"/>
      <c r="M276" s="174"/>
      <c r="N276" s="174"/>
      <c r="O276" s="174"/>
      <c r="P276" s="5"/>
    </row>
    <row r="277" spans="1:16" ht="15.6" x14ac:dyDescent="0.3">
      <c r="A277" s="179"/>
      <c r="B277" s="13" t="s">
        <v>89</v>
      </c>
      <c r="C277" s="13"/>
      <c r="D277" s="123" t="s">
        <v>138</v>
      </c>
      <c r="E277" s="13"/>
      <c r="F277" s="13" t="s">
        <v>141</v>
      </c>
      <c r="G277" s="174"/>
      <c r="H277" s="174"/>
      <c r="I277" s="174"/>
      <c r="J277" s="123"/>
      <c r="K277" s="13"/>
      <c r="L277" s="13"/>
      <c r="M277" s="174"/>
      <c r="N277" s="174"/>
      <c r="O277" s="174"/>
      <c r="P277" s="5"/>
    </row>
    <row r="278" spans="1:16" ht="15.6" x14ac:dyDescent="0.3">
      <c r="A278" s="13"/>
      <c r="B278" s="13" t="s">
        <v>239</v>
      </c>
      <c r="C278" s="13"/>
      <c r="D278" s="123" t="s">
        <v>240</v>
      </c>
      <c r="E278" s="123"/>
      <c r="F278" s="13" t="s">
        <v>241</v>
      </c>
      <c r="G278" s="13"/>
      <c r="H278" s="174"/>
      <c r="I278" s="174"/>
      <c r="J278" s="123"/>
      <c r="K278" s="13"/>
      <c r="L278" s="13"/>
      <c r="M278" s="174"/>
      <c r="N278" s="174"/>
      <c r="O278" s="174"/>
      <c r="P278" s="5"/>
    </row>
    <row r="279" spans="1:16" ht="15.6" x14ac:dyDescent="0.3">
      <c r="A279" s="179"/>
      <c r="B279" s="13" t="s">
        <v>90</v>
      </c>
      <c r="C279" s="13"/>
      <c r="D279" s="123" t="s">
        <v>137</v>
      </c>
      <c r="E279" s="13"/>
      <c r="F279" s="13" t="s">
        <v>142</v>
      </c>
      <c r="G279" s="174"/>
      <c r="H279" s="174"/>
      <c r="I279" s="174"/>
      <c r="J279" s="123"/>
      <c r="K279" s="13"/>
      <c r="L279" s="13"/>
      <c r="M279" s="174"/>
      <c r="N279" s="174"/>
      <c r="O279" s="174"/>
      <c r="P279" s="5"/>
    </row>
    <row r="280" spans="1:16" ht="15.6" x14ac:dyDescent="0.3">
      <c r="A280" s="179"/>
      <c r="B280" s="13"/>
      <c r="C280" s="13"/>
      <c r="D280" s="174"/>
      <c r="E280" s="174"/>
      <c r="F280" s="174"/>
      <c r="G280" s="174"/>
      <c r="H280" s="174"/>
      <c r="I280" s="174"/>
      <c r="J280" s="174"/>
      <c r="K280" s="174"/>
      <c r="L280" s="174"/>
      <c r="M280" s="174"/>
      <c r="N280" s="174"/>
      <c r="O280" s="174"/>
      <c r="P280" s="5"/>
    </row>
    <row r="281" spans="1:16" ht="15.6" x14ac:dyDescent="0.3">
      <c r="A281" s="179"/>
      <c r="B281" s="13"/>
      <c r="C281" s="13"/>
      <c r="D281" s="174"/>
      <c r="E281" s="174"/>
      <c r="F281" s="174"/>
      <c r="G281" s="174"/>
      <c r="H281" s="174"/>
      <c r="I281" s="174"/>
      <c r="J281" s="174"/>
      <c r="K281" s="174"/>
      <c r="L281" s="174"/>
      <c r="M281" s="174"/>
      <c r="N281" s="174"/>
      <c r="O281" s="174"/>
      <c r="P281" s="5"/>
    </row>
    <row r="282" spans="1:16" ht="18" thickBot="1" x14ac:dyDescent="0.35">
      <c r="A282" s="179"/>
      <c r="B282" s="48" t="str">
        <f>B183</f>
        <v>FF7 INVESTOR REPORT QUARTER ENDING FEBRUARY 2008</v>
      </c>
      <c r="C282" s="13"/>
      <c r="D282" s="174"/>
      <c r="E282" s="174"/>
      <c r="F282" s="174"/>
      <c r="G282" s="174"/>
      <c r="H282" s="174"/>
      <c r="I282" s="174"/>
      <c r="J282" s="174"/>
      <c r="K282" s="174"/>
      <c r="L282" s="174"/>
      <c r="M282" s="174"/>
      <c r="N282" s="174"/>
      <c r="O282" s="174"/>
      <c r="P282" s="5"/>
    </row>
    <row r="283" spans="1:16" x14ac:dyDescent="0.25">
      <c r="A283" s="95"/>
      <c r="B283" s="95"/>
      <c r="C283" s="95"/>
      <c r="D283" s="95"/>
      <c r="E283" s="95"/>
      <c r="F283" s="95"/>
      <c r="G283" s="95"/>
      <c r="H283" s="95"/>
      <c r="I283" s="95"/>
      <c r="J283" s="95"/>
      <c r="K283" s="95"/>
      <c r="L283" s="95"/>
      <c r="M283" s="95"/>
      <c r="N283" s="95"/>
      <c r="O283"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3" manualBreakCount="3">
    <brk id="52" max="14" man="1"/>
    <brk id="116" max="14" man="1"/>
    <brk id="183" max="1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298"/>
  <sheetViews>
    <sheetView showGridLines="0" showOutlineSymbols="0" zoomScale="80" zoomScaleNormal="8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0.1671</v>
      </c>
      <c r="L16" s="232" t="s">
        <v>133</v>
      </c>
      <c r="M16" s="231">
        <v>0.83289999999999997</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42814</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134</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16680.283899999999</v>
      </c>
      <c r="E29" s="279"/>
      <c r="F29" s="279">
        <f>F28*F32</f>
        <v>1598.20047</v>
      </c>
      <c r="G29" s="279"/>
      <c r="H29" s="279">
        <f>H28*H32</f>
        <v>1598.20047</v>
      </c>
      <c r="I29" s="279"/>
      <c r="J29" s="284"/>
      <c r="K29" s="279"/>
      <c r="L29" s="279"/>
      <c r="M29" s="280"/>
      <c r="N29" s="279">
        <f>SUM(D29:H29)</f>
        <v>19876.684839999998</v>
      </c>
      <c r="O29" s="281"/>
      <c r="P29" s="5"/>
    </row>
    <row r="30" spans="1:16" ht="15.6" x14ac:dyDescent="0.3">
      <c r="A30" s="274"/>
      <c r="B30" s="275" t="s">
        <v>130</v>
      </c>
      <c r="C30" s="278"/>
      <c r="D30" s="285">
        <f>D28*D31</f>
        <v>15456.7675</v>
      </c>
      <c r="E30" s="285"/>
      <c r="F30" s="285">
        <f>F28*F31</f>
        <v>1598.20047</v>
      </c>
      <c r="G30" s="285"/>
      <c r="H30" s="285">
        <f>H28*H31</f>
        <v>1598.20047</v>
      </c>
      <c r="I30" s="285"/>
      <c r="J30" s="288"/>
      <c r="K30" s="279"/>
      <c r="L30" s="279"/>
      <c r="M30" s="280"/>
      <c r="N30" s="285">
        <f>SUM(D30:I30)+1</f>
        <v>18654.168440000001</v>
      </c>
      <c r="O30" s="281"/>
      <c r="P30" s="5"/>
    </row>
    <row r="31" spans="1:16" ht="15.6" x14ac:dyDescent="0.3">
      <c r="A31" s="262"/>
      <c r="B31" s="290" t="s">
        <v>126</v>
      </c>
      <c r="C31" s="291"/>
      <c r="D31" s="292">
        <v>5.9334999999999999E-2</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6.40318E-2</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6.1313000000000001E-3</v>
      </c>
      <c r="E34" s="297"/>
      <c r="F34" s="298">
        <v>7.3312999999999998E-3</v>
      </c>
      <c r="G34" s="297"/>
      <c r="H34" s="298">
        <v>9.3313000000000007E-3</v>
      </c>
      <c r="I34" s="297"/>
      <c r="J34" s="298"/>
      <c r="K34" s="297"/>
      <c r="L34" s="298"/>
      <c r="M34" s="268"/>
      <c r="N34" s="297">
        <f>SUMPRODUCT(D34:H34,D29:H29)/N29</f>
        <v>6.4850854589236428E-3</v>
      </c>
      <c r="O34" s="266"/>
      <c r="P34" s="5"/>
    </row>
    <row r="35" spans="1:17" ht="15.6" x14ac:dyDescent="0.3">
      <c r="A35" s="274"/>
      <c r="B35" s="263" t="s">
        <v>11</v>
      </c>
      <c r="C35" s="263"/>
      <c r="D35" s="298">
        <v>6.2188E-3</v>
      </c>
      <c r="E35" s="297"/>
      <c r="F35" s="298">
        <v>7.4187999999999997E-3</v>
      </c>
      <c r="G35" s="297"/>
      <c r="H35" s="298">
        <v>9.4187999999999997E-3</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0.20679621013902164</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42809</v>
      </c>
      <c r="O45" s="266"/>
      <c r="P45" s="5"/>
    </row>
    <row r="46" spans="1:17" ht="15.6" x14ac:dyDescent="0.3">
      <c r="A46" s="274"/>
      <c r="B46" s="263" t="s">
        <v>119</v>
      </c>
      <c r="C46" s="263"/>
      <c r="D46" s="305"/>
      <c r="E46" s="305"/>
      <c r="F46" s="305"/>
      <c r="G46" s="305"/>
      <c r="H46" s="305"/>
      <c r="I46" s="305"/>
      <c r="J46" s="263">
        <f>+N46-L46+1</f>
        <v>91</v>
      </c>
      <c r="K46" s="305"/>
      <c r="L46" s="306">
        <v>42628</v>
      </c>
      <c r="M46" s="307"/>
      <c r="N46" s="306">
        <v>42718</v>
      </c>
      <c r="O46" s="266"/>
      <c r="P46" s="5"/>
    </row>
    <row r="47" spans="1:17" ht="15.6" x14ac:dyDescent="0.3">
      <c r="A47" s="274"/>
      <c r="B47" s="263" t="s">
        <v>120</v>
      </c>
      <c r="C47" s="263"/>
      <c r="D47" s="263"/>
      <c r="E47" s="263"/>
      <c r="F47" s="263"/>
      <c r="G47" s="263"/>
      <c r="H47" s="263"/>
      <c r="I47" s="263"/>
      <c r="J47" s="263">
        <f>+N47-L47+1</f>
        <v>90</v>
      </c>
      <c r="K47" s="263"/>
      <c r="L47" s="306">
        <v>42719</v>
      </c>
      <c r="M47" s="307"/>
      <c r="N47" s="306">
        <v>42808</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42795</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290</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19877</v>
      </c>
      <c r="G56" s="264"/>
      <c r="H56" s="264">
        <v>1223</v>
      </c>
      <c r="I56" s="264"/>
      <c r="J56" s="264">
        <v>0</v>
      </c>
      <c r="K56" s="264"/>
      <c r="L56" s="264">
        <v>0</v>
      </c>
      <c r="M56" s="264"/>
      <c r="N56" s="265">
        <f>+F56-H56+J56-L56</f>
        <v>18654</v>
      </c>
      <c r="O56" s="266"/>
      <c r="P56" s="5"/>
    </row>
    <row r="57" spans="1:16" ht="15.6" x14ac:dyDescent="0.3">
      <c r="A57" s="262"/>
      <c r="B57" s="263" t="s">
        <v>209</v>
      </c>
      <c r="C57" s="264"/>
      <c r="D57" s="264">
        <v>756</v>
      </c>
      <c r="E57" s="264"/>
      <c r="F57" s="265">
        <v>119</v>
      </c>
      <c r="G57" s="264"/>
      <c r="H57" s="264">
        <v>28</v>
      </c>
      <c r="I57" s="264"/>
      <c r="J57" s="264">
        <v>0</v>
      </c>
      <c r="K57" s="264"/>
      <c r="L57" s="264">
        <v>0</v>
      </c>
      <c r="M57" s="264"/>
      <c r="N57" s="265">
        <f>+F57-H57</f>
        <v>91</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19996</v>
      </c>
      <c r="G59" s="264"/>
      <c r="H59" s="264">
        <f>SUM(H56:H58)</f>
        <v>1251</v>
      </c>
      <c r="I59" s="264"/>
      <c r="J59" s="264">
        <f>SUM(J56:J58)</f>
        <v>0</v>
      </c>
      <c r="K59" s="264"/>
      <c r="L59" s="264">
        <f>SUM(L56:L58)</f>
        <v>0</v>
      </c>
      <c r="M59" s="264"/>
      <c r="N59" s="264">
        <f>SUM(N56:N58)</f>
        <v>18745</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-119</v>
      </c>
      <c r="G68" s="264"/>
      <c r="H68" s="264"/>
      <c r="I68" s="264"/>
      <c r="J68" s="264"/>
      <c r="K68" s="264"/>
      <c r="L68" s="264"/>
      <c r="M68" s="264"/>
      <c r="N68" s="265">
        <f>-N57</f>
        <v>-91</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19877</v>
      </c>
      <c r="G72" s="264"/>
      <c r="H72" s="264"/>
      <c r="I72" s="264"/>
      <c r="J72" s="264"/>
      <c r="K72" s="264"/>
      <c r="L72" s="264"/>
      <c r="M72" s="264"/>
      <c r="N72" s="264">
        <f>SUM(N59:N71)</f>
        <v>18654</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42794</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v>1223</v>
      </c>
      <c r="M77" s="263"/>
      <c r="N77" s="265"/>
      <c r="O77" s="266"/>
      <c r="P77" s="5"/>
    </row>
    <row r="78" spans="1:16" ht="15.6" x14ac:dyDescent="0.3">
      <c r="A78" s="262"/>
      <c r="B78" s="263" t="s">
        <v>176</v>
      </c>
      <c r="C78" s="263"/>
      <c r="D78" s="300"/>
      <c r="E78" s="263"/>
      <c r="F78" s="309"/>
      <c r="G78" s="263"/>
      <c r="H78" s="263"/>
      <c r="I78" s="263"/>
      <c r="J78" s="263"/>
      <c r="K78" s="263"/>
      <c r="L78" s="264"/>
      <c r="M78" s="263"/>
      <c r="N78" s="265">
        <f>610+56+246-463-28-159</f>
        <v>262</v>
      </c>
      <c r="O78" s="266"/>
      <c r="P78" s="5"/>
    </row>
    <row r="79" spans="1:16" ht="15.6" x14ac:dyDescent="0.3">
      <c r="A79" s="262"/>
      <c r="B79" s="263" t="s">
        <v>174</v>
      </c>
      <c r="C79" s="263"/>
      <c r="D79" s="300"/>
      <c r="E79" s="263"/>
      <c r="F79" s="309"/>
      <c r="G79" s="263"/>
      <c r="H79" s="263"/>
      <c r="I79" s="263"/>
      <c r="J79" s="263"/>
      <c r="K79" s="263"/>
      <c r="L79" s="264"/>
      <c r="M79" s="263"/>
      <c r="N79" s="265">
        <f>5+9</f>
        <v>14</v>
      </c>
      <c r="O79" s="266"/>
      <c r="P79" s="5"/>
    </row>
    <row r="80" spans="1:16" ht="15.6" x14ac:dyDescent="0.3">
      <c r="A80" s="262"/>
      <c r="B80" s="263" t="s">
        <v>175</v>
      </c>
      <c r="C80" s="263"/>
      <c r="D80" s="300"/>
      <c r="E80" s="263"/>
      <c r="F80" s="309"/>
      <c r="G80" s="263"/>
      <c r="H80" s="263"/>
      <c r="I80" s="263"/>
      <c r="J80" s="263"/>
      <c r="K80" s="263"/>
      <c r="L80" s="264"/>
      <c r="M80" s="263"/>
      <c r="N80" s="265">
        <v>0</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1223</v>
      </c>
      <c r="M83" s="263"/>
      <c r="N83" s="264">
        <f>SUM(N76:N82)</f>
        <v>276</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1223</v>
      </c>
      <c r="M87" s="263"/>
      <c r="N87" s="264">
        <f>N83+N85+N84+N86</f>
        <v>276</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-8-1-26</f>
        <v>-35</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-25</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-3</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0</v>
      </c>
      <c r="M98" s="263"/>
      <c r="N98" s="265">
        <v>0</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-7</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-193</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-1223</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-1223</v>
      </c>
      <c r="M111" s="264"/>
      <c r="N111" s="264">
        <f>SUM(N88:N109)</f>
        <v>-276</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FEBRUARY 2017</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0</v>
      </c>
      <c r="O144" s="266"/>
      <c r="P144" s="5"/>
    </row>
    <row r="145" spans="1:256" ht="15.6" x14ac:dyDescent="0.3">
      <c r="A145" s="262"/>
      <c r="B145" s="263" t="s">
        <v>51</v>
      </c>
      <c r="C145" s="263"/>
      <c r="D145" s="263"/>
      <c r="E145" s="263"/>
      <c r="F145" s="263"/>
      <c r="G145" s="263"/>
      <c r="H145" s="263"/>
      <c r="I145" s="263"/>
      <c r="J145" s="263"/>
      <c r="K145" s="263"/>
      <c r="L145" s="263"/>
      <c r="M145" s="263"/>
      <c r="N145" s="265">
        <f>+N143+N144</f>
        <v>0</v>
      </c>
      <c r="O145" s="266"/>
      <c r="P145" s="5"/>
    </row>
    <row r="146" spans="1:256" ht="15.6" x14ac:dyDescent="0.3">
      <c r="A146" s="262"/>
      <c r="B146" s="263" t="s">
        <v>264</v>
      </c>
      <c r="C146" s="263"/>
      <c r="D146" s="263"/>
      <c r="E146" s="263"/>
      <c r="F146" s="263"/>
      <c r="G146" s="263"/>
      <c r="H146" s="263"/>
      <c r="I146" s="263"/>
      <c r="J146" s="263"/>
      <c r="K146" s="263"/>
      <c r="L146" s="263"/>
      <c r="M146" s="263"/>
      <c r="N146" s="265">
        <f>N98</f>
        <v>0</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18654</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18654</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+'Nov 16'!N161</f>
        <v>119</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28</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91</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+'Nov 16'!L168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9.56</v>
      </c>
      <c r="O173" s="266" t="s">
        <v>115</v>
      </c>
      <c r="P173" s="5"/>
    </row>
    <row r="174" spans="1:256" ht="15.6" x14ac:dyDescent="0.3">
      <c r="A174" s="262"/>
      <c r="B174" s="263" t="s">
        <v>63</v>
      </c>
      <c r="C174" s="263"/>
      <c r="D174" s="263"/>
      <c r="E174" s="263"/>
      <c r="F174" s="263"/>
      <c r="G174" s="263"/>
      <c r="H174" s="263"/>
      <c r="I174" s="263"/>
      <c r="J174" s="263"/>
      <c r="K174" s="263"/>
      <c r="L174" s="263"/>
      <c r="M174" s="263"/>
      <c r="N174" s="315">
        <v>2.2200000000000002</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71.333333333333329</v>
      </c>
      <c r="O175" s="266" t="s">
        <v>115</v>
      </c>
      <c r="P175" s="5"/>
    </row>
    <row r="176" spans="1:256" ht="15.6" x14ac:dyDescent="0.3">
      <c r="A176" s="262"/>
      <c r="B176" s="263" t="s">
        <v>65</v>
      </c>
      <c r="C176" s="263"/>
      <c r="D176" s="263"/>
      <c r="E176" s="263"/>
      <c r="F176" s="263"/>
      <c r="G176" s="263"/>
      <c r="H176" s="263"/>
      <c r="I176" s="263"/>
      <c r="J176" s="263"/>
      <c r="K176" s="263"/>
      <c r="L176" s="263"/>
      <c r="M176" s="263"/>
      <c r="N176" s="315">
        <v>51.35</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52.75</v>
      </c>
      <c r="O177" s="266" t="s">
        <v>115</v>
      </c>
      <c r="P177" s="5"/>
    </row>
    <row r="178" spans="1:16" ht="15.6" x14ac:dyDescent="0.3">
      <c r="A178" s="262"/>
      <c r="B178" s="263" t="s">
        <v>167</v>
      </c>
      <c r="C178" s="263"/>
      <c r="D178" s="263"/>
      <c r="E178" s="263"/>
      <c r="F178" s="263"/>
      <c r="G178" s="263"/>
      <c r="H178" s="263"/>
      <c r="I178" s="263"/>
      <c r="J178" s="263"/>
      <c r="K178" s="263"/>
      <c r="L178" s="263"/>
      <c r="M178" s="263"/>
      <c r="N178" s="315">
        <v>48.24</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FEBRUARY 2017</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42794</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4.1110000000000001E-2</v>
      </c>
      <c r="M188" s="263"/>
      <c r="N188" s="263"/>
      <c r="O188" s="266"/>
      <c r="P188" s="5"/>
    </row>
    <row r="189" spans="1:16" ht="15.6" x14ac:dyDescent="0.3">
      <c r="A189" s="321"/>
      <c r="B189" s="263" t="s">
        <v>212</v>
      </c>
      <c r="C189" s="322"/>
      <c r="D189" s="303"/>
      <c r="E189" s="303"/>
      <c r="F189" s="303"/>
      <c r="G189" s="303"/>
      <c r="H189" s="303"/>
      <c r="I189" s="303"/>
      <c r="J189" s="303"/>
      <c r="K189" s="303"/>
      <c r="L189" s="297">
        <f>N34</f>
        <v>6.4850854589236428E-3</v>
      </c>
      <c r="M189" s="263"/>
      <c r="N189" s="263"/>
      <c r="O189" s="266"/>
      <c r="P189" s="5"/>
    </row>
    <row r="190" spans="1:16" ht="15.6" x14ac:dyDescent="0.3">
      <c r="A190" s="321"/>
      <c r="B190" s="263" t="s">
        <v>70</v>
      </c>
      <c r="C190" s="322"/>
      <c r="D190" s="303"/>
      <c r="E190" s="303"/>
      <c r="F190" s="303"/>
      <c r="G190" s="303"/>
      <c r="H190" s="303"/>
      <c r="I190" s="303"/>
      <c r="J190" s="303"/>
      <c r="K190" s="303"/>
      <c r="L190" s="297">
        <f>L188-L189</f>
        <v>3.4624914541076357E-2</v>
      </c>
      <c r="M190" s="263"/>
      <c r="N190" s="263"/>
      <c r="O190" s="266"/>
      <c r="P190" s="5"/>
    </row>
    <row r="191" spans="1:16" ht="15.6" x14ac:dyDescent="0.3">
      <c r="A191" s="321"/>
      <c r="B191" s="263" t="s">
        <v>203</v>
      </c>
      <c r="C191" s="322"/>
      <c r="D191" s="303"/>
      <c r="E191" s="303"/>
      <c r="F191" s="303"/>
      <c r="G191" s="303"/>
      <c r="H191" s="303"/>
      <c r="I191" s="303"/>
      <c r="J191" s="303"/>
      <c r="K191" s="303"/>
      <c r="L191" s="297">
        <f>+N87/F59</f>
        <v>1.3802760552110422E-2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4.5</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6.1528399657896062E-2</v>
      </c>
      <c r="M197" s="263"/>
      <c r="N197" s="263"/>
      <c r="O197" s="266"/>
      <c r="P197" s="5"/>
    </row>
    <row r="198" spans="1:16" ht="15.6" x14ac:dyDescent="0.3">
      <c r="A198" s="321"/>
      <c r="B198" s="263" t="s">
        <v>74</v>
      </c>
      <c r="C198" s="322"/>
      <c r="D198" s="303"/>
      <c r="E198" s="303"/>
      <c r="F198" s="303"/>
      <c r="G198" s="303"/>
      <c r="H198" s="303"/>
      <c r="I198" s="303"/>
      <c r="J198" s="303"/>
      <c r="K198" s="303"/>
      <c r="L198" s="297">
        <v>0.27039999999999997</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6</v>
      </c>
      <c r="L201" s="331">
        <v>281</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3</v>
      </c>
      <c r="L203" s="331">
        <f>+L286</f>
        <v>314</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0</v>
      </c>
      <c r="M207" s="291"/>
      <c r="N207" s="337"/>
      <c r="O207" s="342"/>
      <c r="P207" s="5"/>
    </row>
    <row r="208" spans="1:16" ht="15.6" x14ac:dyDescent="0.3">
      <c r="A208" s="330"/>
      <c r="B208" s="263" t="s">
        <v>82</v>
      </c>
      <c r="C208" s="264"/>
      <c r="D208" s="263"/>
      <c r="E208" s="263"/>
      <c r="F208" s="263"/>
      <c r="G208" s="263"/>
      <c r="H208" s="263"/>
      <c r="I208" s="263"/>
      <c r="J208" s="263"/>
      <c r="K208" s="276"/>
      <c r="L208" s="331">
        <f>'Nov 16'!L208+L207</f>
        <v>216</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1</v>
      </c>
      <c r="L210" s="331">
        <v>25</v>
      </c>
      <c r="M210" s="291"/>
      <c r="N210" s="337"/>
      <c r="O210" s="342"/>
      <c r="P210" s="5"/>
    </row>
    <row r="211" spans="1:17" ht="15.6" x14ac:dyDescent="0.3">
      <c r="A211" s="347"/>
      <c r="B211" s="263" t="s">
        <v>83</v>
      </c>
      <c r="C211" s="300"/>
      <c r="D211" s="263"/>
      <c r="E211" s="263"/>
      <c r="F211" s="263"/>
      <c r="G211" s="263"/>
      <c r="H211" s="263"/>
      <c r="I211" s="263"/>
      <c r="J211" s="263"/>
      <c r="K211" s="263"/>
      <c r="L211" s="339">
        <v>14.77</v>
      </c>
      <c r="M211" s="291"/>
      <c r="N211" s="337"/>
      <c r="O211" s="342"/>
      <c r="P211" s="5"/>
    </row>
    <row r="212" spans="1:17" ht="15.6" x14ac:dyDescent="0.3">
      <c r="A212" s="347"/>
      <c r="B212" s="263" t="s">
        <v>84</v>
      </c>
      <c r="C212" s="300"/>
      <c r="D212" s="263"/>
      <c r="E212" s="263"/>
      <c r="F212" s="263"/>
      <c r="G212" s="263"/>
      <c r="H212" s="263"/>
      <c r="I212" s="263"/>
      <c r="J212" s="263"/>
      <c r="K212" s="263"/>
      <c r="L212" s="339">
        <v>3.94</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469</v>
      </c>
      <c r="K221" s="355">
        <f t="shared" ref="K221:K233" si="2">J221/$J$235</f>
        <v>0.95519348268839099</v>
      </c>
      <c r="L221" s="265">
        <f t="shared" ref="L221:L233" si="3">+L238+L255+L272</f>
        <v>17790</v>
      </c>
      <c r="M221" s="355">
        <f t="shared" ref="M221:M233" si="4">L221/$L$235</f>
        <v>0.95368285622386617</v>
      </c>
      <c r="N221" s="332"/>
      <c r="O221" s="356"/>
      <c r="P221" s="5"/>
    </row>
    <row r="222" spans="1:17" ht="15.6" x14ac:dyDescent="0.3">
      <c r="A222" s="262"/>
      <c r="B222" s="264" t="s">
        <v>86</v>
      </c>
      <c r="C222" s="354"/>
      <c r="D222" s="354"/>
      <c r="E222" s="354"/>
      <c r="F222" s="354"/>
      <c r="G222" s="354"/>
      <c r="H222" s="354"/>
      <c r="I222" s="354"/>
      <c r="J222" s="264">
        <f t="shared" si="1"/>
        <v>2</v>
      </c>
      <c r="K222" s="355">
        <f t="shared" si="2"/>
        <v>4.0733197556008143E-3</v>
      </c>
      <c r="L222" s="265">
        <f t="shared" si="3"/>
        <v>119</v>
      </c>
      <c r="M222" s="355">
        <f t="shared" si="4"/>
        <v>6.3793288302776887E-3</v>
      </c>
      <c r="N222" s="332"/>
      <c r="O222" s="356"/>
      <c r="P222" s="5"/>
      <c r="Q222" s="104"/>
    </row>
    <row r="223" spans="1:17" ht="15.6" x14ac:dyDescent="0.3">
      <c r="A223" s="262"/>
      <c r="B223" s="264" t="s">
        <v>87</v>
      </c>
      <c r="C223" s="354"/>
      <c r="D223" s="354"/>
      <c r="E223" s="354"/>
      <c r="F223" s="354"/>
      <c r="G223" s="354"/>
      <c r="H223" s="354"/>
      <c r="I223" s="354"/>
      <c r="J223" s="264">
        <f t="shared" si="1"/>
        <v>4</v>
      </c>
      <c r="K223" s="355">
        <f t="shared" si="2"/>
        <v>8.1466395112016286E-3</v>
      </c>
      <c r="L223" s="265">
        <f t="shared" si="3"/>
        <v>224</v>
      </c>
      <c r="M223" s="355">
        <f t="shared" si="4"/>
        <v>1.200814838640506E-2</v>
      </c>
      <c r="N223" s="332"/>
      <c r="O223" s="356"/>
      <c r="P223" s="5"/>
    </row>
    <row r="224" spans="1:17" ht="15.6" x14ac:dyDescent="0.3">
      <c r="A224" s="262"/>
      <c r="B224" s="264" t="s">
        <v>145</v>
      </c>
      <c r="C224" s="354"/>
      <c r="D224" s="354"/>
      <c r="E224" s="354"/>
      <c r="F224" s="354"/>
      <c r="G224" s="354"/>
      <c r="H224" s="354"/>
      <c r="I224" s="354"/>
      <c r="J224" s="264">
        <f t="shared" si="1"/>
        <v>1</v>
      </c>
      <c r="K224" s="355">
        <f t="shared" si="2"/>
        <v>2.0366598778004071E-3</v>
      </c>
      <c r="L224" s="265">
        <f t="shared" si="3"/>
        <v>14</v>
      </c>
      <c r="M224" s="355">
        <f t="shared" si="4"/>
        <v>7.5050927415031628E-4</v>
      </c>
      <c r="N224" s="332"/>
      <c r="O224" s="356"/>
      <c r="P224" s="5"/>
      <c r="Q224" s="104"/>
    </row>
    <row r="225" spans="1:17" ht="15.6" x14ac:dyDescent="0.3">
      <c r="A225" s="262"/>
      <c r="B225" s="264" t="s">
        <v>146</v>
      </c>
      <c r="C225" s="354"/>
      <c r="D225" s="354"/>
      <c r="E225" s="354"/>
      <c r="F225" s="354"/>
      <c r="G225" s="354"/>
      <c r="H225" s="354"/>
      <c r="I225" s="354"/>
      <c r="J225" s="264">
        <f t="shared" si="1"/>
        <v>1</v>
      </c>
      <c r="K225" s="355">
        <f t="shared" si="2"/>
        <v>2.0366598778004071E-3</v>
      </c>
      <c r="L225" s="265">
        <f t="shared" si="3"/>
        <v>47</v>
      </c>
      <c r="M225" s="355">
        <f t="shared" si="4"/>
        <v>2.5195668489332045E-3</v>
      </c>
      <c r="N225" s="332"/>
      <c r="O225" s="356"/>
      <c r="P225" s="5"/>
    </row>
    <row r="226" spans="1:17" ht="15.6" x14ac:dyDescent="0.3">
      <c r="A226" s="262"/>
      <c r="B226" s="264" t="s">
        <v>147</v>
      </c>
      <c r="C226" s="354"/>
      <c r="D226" s="354"/>
      <c r="E226" s="354"/>
      <c r="F226" s="354"/>
      <c r="G226" s="354"/>
      <c r="H226" s="354"/>
      <c r="I226" s="354"/>
      <c r="J226" s="264">
        <f t="shared" si="1"/>
        <v>1</v>
      </c>
      <c r="K226" s="355">
        <f t="shared" si="2"/>
        <v>2.0366598778004071E-3</v>
      </c>
      <c r="L226" s="265">
        <f t="shared" si="3"/>
        <v>61</v>
      </c>
      <c r="M226" s="355">
        <f t="shared" si="4"/>
        <v>3.270076123083521E-3</v>
      </c>
      <c r="N226" s="332"/>
      <c r="O226" s="356"/>
      <c r="P226" s="5"/>
      <c r="Q226" s="104"/>
    </row>
    <row r="227" spans="1:17" ht="15.6" x14ac:dyDescent="0.3">
      <c r="A227" s="262"/>
      <c r="B227" s="264" t="s">
        <v>227</v>
      </c>
      <c r="C227" s="354"/>
      <c r="D227" s="354"/>
      <c r="E227" s="354"/>
      <c r="F227" s="354"/>
      <c r="G227" s="354"/>
      <c r="H227" s="354"/>
      <c r="I227" s="354"/>
      <c r="J227" s="264">
        <f t="shared" si="1"/>
        <v>2</v>
      </c>
      <c r="K227" s="355">
        <f t="shared" si="2"/>
        <v>4.0733197556008143E-3</v>
      </c>
      <c r="L227" s="265">
        <f t="shared" si="3"/>
        <v>74</v>
      </c>
      <c r="M227" s="355">
        <f t="shared" si="4"/>
        <v>3.9669775919373863E-3</v>
      </c>
      <c r="N227" s="332"/>
      <c r="O227" s="356"/>
      <c r="P227" s="5"/>
    </row>
    <row r="228" spans="1:17" ht="15.6" x14ac:dyDescent="0.3">
      <c r="A228" s="262"/>
      <c r="B228" s="264" t="s">
        <v>228</v>
      </c>
      <c r="C228" s="354"/>
      <c r="D228" s="354"/>
      <c r="E228" s="354"/>
      <c r="F228" s="354"/>
      <c r="G228" s="354"/>
      <c r="H228" s="354"/>
      <c r="I228" s="354"/>
      <c r="J228" s="264">
        <f t="shared" si="1"/>
        <v>0</v>
      </c>
      <c r="K228" s="355">
        <f t="shared" si="2"/>
        <v>0</v>
      </c>
      <c r="L228" s="265">
        <f t="shared" si="3"/>
        <v>0</v>
      </c>
      <c r="M228" s="355">
        <f t="shared" si="4"/>
        <v>0</v>
      </c>
      <c r="N228" s="332"/>
      <c r="O228" s="356"/>
      <c r="P228" s="5"/>
      <c r="Q228" s="104"/>
    </row>
    <row r="229" spans="1:17" ht="15.6" x14ac:dyDescent="0.3">
      <c r="A229" s="262"/>
      <c r="B229" s="264" t="s">
        <v>229</v>
      </c>
      <c r="C229" s="354"/>
      <c r="D229" s="354"/>
      <c r="E229" s="354"/>
      <c r="F229" s="354"/>
      <c r="G229" s="354"/>
      <c r="H229" s="354"/>
      <c r="I229" s="354"/>
      <c r="J229" s="264">
        <f t="shared" si="1"/>
        <v>4</v>
      </c>
      <c r="K229" s="355">
        <f t="shared" si="2"/>
        <v>8.1466395112016286E-3</v>
      </c>
      <c r="L229" s="265">
        <f t="shared" si="3"/>
        <v>53</v>
      </c>
      <c r="M229" s="355">
        <f t="shared" si="4"/>
        <v>2.8412136807119117E-3</v>
      </c>
      <c r="N229" s="332"/>
      <c r="O229" s="356"/>
      <c r="P229" s="5"/>
      <c r="Q229" s="104"/>
    </row>
    <row r="230" spans="1:17" ht="15.6" x14ac:dyDescent="0.3">
      <c r="A230" s="262"/>
      <c r="B230" s="264" t="s">
        <v>230</v>
      </c>
      <c r="C230" s="354"/>
      <c r="D230" s="354"/>
      <c r="E230" s="354"/>
      <c r="F230" s="354"/>
      <c r="G230" s="354"/>
      <c r="H230" s="354"/>
      <c r="I230" s="354"/>
      <c r="J230" s="264">
        <f t="shared" si="1"/>
        <v>0</v>
      </c>
      <c r="K230" s="355">
        <f t="shared" si="2"/>
        <v>0</v>
      </c>
      <c r="L230" s="265">
        <f t="shared" si="3"/>
        <v>0</v>
      </c>
      <c r="M230" s="355">
        <f t="shared" si="4"/>
        <v>0</v>
      </c>
      <c r="N230" s="332"/>
      <c r="O230" s="356"/>
      <c r="P230" s="5"/>
      <c r="Q230" s="104"/>
    </row>
    <row r="231" spans="1:17" ht="15.6" x14ac:dyDescent="0.3">
      <c r="A231" s="262"/>
      <c r="B231" s="264" t="s">
        <v>231</v>
      </c>
      <c r="C231" s="354"/>
      <c r="D231" s="354"/>
      <c r="E231" s="354"/>
      <c r="F231" s="354"/>
      <c r="G231" s="354"/>
      <c r="H231" s="354"/>
      <c r="I231" s="354"/>
      <c r="J231" s="264">
        <f t="shared" si="1"/>
        <v>0</v>
      </c>
      <c r="K231" s="355">
        <f t="shared" si="2"/>
        <v>0</v>
      </c>
      <c r="L231" s="265">
        <f t="shared" si="3"/>
        <v>0</v>
      </c>
      <c r="M231" s="355">
        <f t="shared" si="4"/>
        <v>0</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2.0366598778004071E-3</v>
      </c>
      <c r="L232" s="265">
        <f t="shared" si="3"/>
        <v>52</v>
      </c>
      <c r="M232" s="355">
        <f t="shared" si="4"/>
        <v>2.7876058754154605E-3</v>
      </c>
      <c r="N232" s="332"/>
      <c r="O232" s="356"/>
      <c r="P232" s="5"/>
      <c r="Q232" s="104"/>
    </row>
    <row r="233" spans="1:17" ht="15.6" x14ac:dyDescent="0.3">
      <c r="A233" s="262"/>
      <c r="B233" s="264" t="s">
        <v>233</v>
      </c>
      <c r="C233" s="354"/>
      <c r="D233" s="354"/>
      <c r="E233" s="354"/>
      <c r="F233" s="354"/>
      <c r="G233" s="354"/>
      <c r="H233" s="354"/>
      <c r="I233" s="354"/>
      <c r="J233" s="264">
        <f t="shared" si="1"/>
        <v>6</v>
      </c>
      <c r="K233" s="355">
        <f t="shared" si="2"/>
        <v>1.2219959266802444E-2</v>
      </c>
      <c r="L233" s="265">
        <f t="shared" si="3"/>
        <v>220</v>
      </c>
      <c r="M233" s="355">
        <f t="shared" si="4"/>
        <v>1.1793717165219255E-2</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491</v>
      </c>
      <c r="K235" s="355">
        <f>SUM(K221:K234)</f>
        <v>1</v>
      </c>
      <c r="L235" s="265">
        <f>SUM(L221:L234)</f>
        <v>18654</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468</v>
      </c>
      <c r="K238" s="355">
        <f t="shared" ref="K238:K250" si="5">J238/$J$252</f>
        <v>0.95901639344262291</v>
      </c>
      <c r="L238" s="265">
        <v>17697</v>
      </c>
      <c r="M238" s="355">
        <f t="shared" ref="M238:M250" si="6">L238/$L$252</f>
        <v>0.96494002181025085</v>
      </c>
      <c r="N238" s="332"/>
      <c r="O238" s="356"/>
      <c r="P238" s="5"/>
    </row>
    <row r="239" spans="1:17" ht="15.6" x14ac:dyDescent="0.3">
      <c r="A239" s="262"/>
      <c r="B239" s="264" t="s">
        <v>86</v>
      </c>
      <c r="C239" s="354"/>
      <c r="D239" s="354"/>
      <c r="E239" s="354"/>
      <c r="F239" s="354"/>
      <c r="G239" s="354"/>
      <c r="H239" s="354"/>
      <c r="I239" s="354"/>
      <c r="J239" s="264">
        <v>1</v>
      </c>
      <c r="K239" s="355">
        <f t="shared" si="5"/>
        <v>2.0491803278688526E-3</v>
      </c>
      <c r="L239" s="265">
        <v>40</v>
      </c>
      <c r="M239" s="355">
        <f t="shared" si="6"/>
        <v>2.1810250817884407E-3</v>
      </c>
      <c r="N239" s="332"/>
      <c r="O239" s="356"/>
      <c r="P239" s="5"/>
      <c r="Q239" s="104"/>
    </row>
    <row r="240" spans="1:17" ht="15.6" x14ac:dyDescent="0.3">
      <c r="A240" s="262"/>
      <c r="B240" s="264" t="s">
        <v>87</v>
      </c>
      <c r="C240" s="354"/>
      <c r="D240" s="354"/>
      <c r="E240" s="354"/>
      <c r="F240" s="354"/>
      <c r="G240" s="354"/>
      <c r="H240" s="354"/>
      <c r="I240" s="354"/>
      <c r="J240" s="264">
        <v>4</v>
      </c>
      <c r="K240" s="355">
        <f t="shared" si="5"/>
        <v>8.1967213114754103E-3</v>
      </c>
      <c r="L240" s="265">
        <v>224</v>
      </c>
      <c r="M240" s="355">
        <f t="shared" si="6"/>
        <v>1.2213740458015267E-2</v>
      </c>
      <c r="N240" s="332"/>
      <c r="O240" s="356"/>
      <c r="P240" s="5"/>
    </row>
    <row r="241" spans="1:17" ht="15.6" x14ac:dyDescent="0.3">
      <c r="A241" s="262"/>
      <c r="B241" s="264" t="s">
        <v>145</v>
      </c>
      <c r="C241" s="354"/>
      <c r="D241" s="354"/>
      <c r="E241" s="354"/>
      <c r="F241" s="354"/>
      <c r="G241" s="354"/>
      <c r="H241" s="354"/>
      <c r="I241" s="354"/>
      <c r="J241" s="264">
        <v>1</v>
      </c>
      <c r="K241" s="355">
        <f t="shared" si="5"/>
        <v>2.0491803278688526E-3</v>
      </c>
      <c r="L241" s="265">
        <v>14</v>
      </c>
      <c r="M241" s="355">
        <f t="shared" si="6"/>
        <v>7.6335877862595419E-4</v>
      </c>
      <c r="N241" s="332"/>
      <c r="O241" s="356"/>
      <c r="P241" s="5"/>
      <c r="Q241" s="104"/>
    </row>
    <row r="242" spans="1:17" ht="15.6" x14ac:dyDescent="0.3">
      <c r="A242" s="262"/>
      <c r="B242" s="264" t="s">
        <v>146</v>
      </c>
      <c r="C242" s="354"/>
      <c r="D242" s="354"/>
      <c r="E242" s="354"/>
      <c r="F242" s="354"/>
      <c r="G242" s="354"/>
      <c r="H242" s="354"/>
      <c r="I242" s="354"/>
      <c r="J242" s="264">
        <v>1</v>
      </c>
      <c r="K242" s="355">
        <f t="shared" si="5"/>
        <v>2.0491803278688526E-3</v>
      </c>
      <c r="L242" s="265">
        <v>47</v>
      </c>
      <c r="M242" s="355">
        <f t="shared" si="6"/>
        <v>2.5627044711014177E-3</v>
      </c>
      <c r="N242" s="332"/>
      <c r="O242" s="356"/>
      <c r="P242" s="5"/>
    </row>
    <row r="243" spans="1:17" ht="15.6" x14ac:dyDescent="0.3">
      <c r="A243" s="262"/>
      <c r="B243" s="264" t="s">
        <v>147</v>
      </c>
      <c r="C243" s="354"/>
      <c r="D243" s="354"/>
      <c r="E243" s="354"/>
      <c r="F243" s="354"/>
      <c r="G243" s="354"/>
      <c r="H243" s="354"/>
      <c r="I243" s="354"/>
      <c r="J243" s="264">
        <v>1</v>
      </c>
      <c r="K243" s="355">
        <f t="shared" si="5"/>
        <v>2.0491803278688526E-3</v>
      </c>
      <c r="L243" s="265">
        <v>61</v>
      </c>
      <c r="M243" s="355">
        <f t="shared" si="6"/>
        <v>3.3260632497273718E-3</v>
      </c>
      <c r="N243" s="332"/>
      <c r="O243" s="356"/>
      <c r="P243" s="5"/>
      <c r="Q243" s="104"/>
    </row>
    <row r="244" spans="1:17" ht="15.6" x14ac:dyDescent="0.3">
      <c r="A244" s="262"/>
      <c r="B244" s="264" t="s">
        <v>227</v>
      </c>
      <c r="C244" s="354"/>
      <c r="D244" s="354"/>
      <c r="E244" s="354"/>
      <c r="F244" s="354"/>
      <c r="G244" s="354"/>
      <c r="H244" s="354"/>
      <c r="I244" s="354"/>
      <c r="J244" s="264">
        <v>2</v>
      </c>
      <c r="K244" s="355">
        <f t="shared" si="5"/>
        <v>4.0983606557377051E-3</v>
      </c>
      <c r="L244" s="265">
        <v>74</v>
      </c>
      <c r="M244" s="355">
        <f t="shared" si="6"/>
        <v>4.0348964013086153E-3</v>
      </c>
      <c r="N244" s="332"/>
      <c r="O244" s="356"/>
      <c r="P244" s="5"/>
    </row>
    <row r="245" spans="1:17" ht="15.6" x14ac:dyDescent="0.3">
      <c r="A245" s="262"/>
      <c r="B245" s="264" t="s">
        <v>228</v>
      </c>
      <c r="C245" s="354"/>
      <c r="D245" s="354"/>
      <c r="E245" s="354"/>
      <c r="F245" s="354"/>
      <c r="G245" s="354"/>
      <c r="H245" s="354"/>
      <c r="I245" s="354"/>
      <c r="J245" s="264">
        <v>0</v>
      </c>
      <c r="K245" s="355">
        <f t="shared" si="5"/>
        <v>0</v>
      </c>
      <c r="L245" s="265">
        <v>0</v>
      </c>
      <c r="M245" s="355">
        <f t="shared" si="6"/>
        <v>0</v>
      </c>
      <c r="N245" s="332"/>
      <c r="O245" s="356"/>
      <c r="P245" s="5"/>
      <c r="Q245" s="104"/>
    </row>
    <row r="246" spans="1:17" ht="15.6" x14ac:dyDescent="0.3">
      <c r="A246" s="262"/>
      <c r="B246" s="264" t="s">
        <v>229</v>
      </c>
      <c r="C246" s="354"/>
      <c r="D246" s="354"/>
      <c r="E246" s="354"/>
      <c r="F246" s="354"/>
      <c r="G246" s="354"/>
      <c r="H246" s="354"/>
      <c r="I246" s="354"/>
      <c r="J246" s="264">
        <v>4</v>
      </c>
      <c r="K246" s="355">
        <f t="shared" si="5"/>
        <v>8.1967213114754103E-3</v>
      </c>
      <c r="L246" s="265">
        <v>53</v>
      </c>
      <c r="M246" s="355">
        <f t="shared" si="6"/>
        <v>2.8898582333696837E-3</v>
      </c>
      <c r="N246" s="332"/>
      <c r="O246" s="356"/>
      <c r="P246" s="5"/>
      <c r="Q246" s="104"/>
    </row>
    <row r="247" spans="1:17" ht="15.6" x14ac:dyDescent="0.3">
      <c r="A247" s="262"/>
      <c r="B247" s="264" t="s">
        <v>230</v>
      </c>
      <c r="C247" s="354"/>
      <c r="D247" s="354"/>
      <c r="E247" s="354"/>
      <c r="F247" s="354"/>
      <c r="G247" s="354"/>
      <c r="H247" s="354"/>
      <c r="I247" s="354"/>
      <c r="J247" s="264">
        <v>0</v>
      </c>
      <c r="K247" s="355">
        <f t="shared" si="5"/>
        <v>0</v>
      </c>
      <c r="L247" s="265">
        <v>0</v>
      </c>
      <c r="M247" s="355">
        <f t="shared" si="6"/>
        <v>0</v>
      </c>
      <c r="N247" s="332"/>
      <c r="O247" s="356"/>
      <c r="P247" s="5"/>
      <c r="Q247" s="104"/>
    </row>
    <row r="248" spans="1:17" ht="15.6" x14ac:dyDescent="0.3">
      <c r="A248" s="262"/>
      <c r="B248" s="264" t="s">
        <v>231</v>
      </c>
      <c r="C248" s="354"/>
      <c r="D248" s="354"/>
      <c r="E248" s="354"/>
      <c r="F248" s="354"/>
      <c r="G248" s="354"/>
      <c r="H248" s="354"/>
      <c r="I248" s="354"/>
      <c r="J248" s="264">
        <v>0</v>
      </c>
      <c r="K248" s="355">
        <f t="shared" si="5"/>
        <v>0</v>
      </c>
      <c r="L248" s="265">
        <v>0</v>
      </c>
      <c r="M248" s="355">
        <f t="shared" si="6"/>
        <v>0</v>
      </c>
      <c r="N248" s="332"/>
      <c r="O248" s="356"/>
      <c r="P248" s="5"/>
      <c r="Q248" s="104"/>
    </row>
    <row r="249" spans="1:17" ht="15.6" x14ac:dyDescent="0.3">
      <c r="A249" s="262"/>
      <c r="B249" s="264" t="s">
        <v>232</v>
      </c>
      <c r="C249" s="354"/>
      <c r="D249" s="354"/>
      <c r="E249" s="354"/>
      <c r="F249" s="354"/>
      <c r="G249" s="354"/>
      <c r="H249" s="354"/>
      <c r="I249" s="354"/>
      <c r="J249" s="264">
        <v>1</v>
      </c>
      <c r="K249" s="355">
        <f t="shared" si="5"/>
        <v>2.0491803278688526E-3</v>
      </c>
      <c r="L249" s="265">
        <v>52</v>
      </c>
      <c r="M249" s="355">
        <f t="shared" si="6"/>
        <v>2.8353326063249727E-3</v>
      </c>
      <c r="N249" s="397"/>
      <c r="O249" s="356"/>
      <c r="P249" s="5"/>
      <c r="Q249" s="104"/>
    </row>
    <row r="250" spans="1:17" ht="15.6" x14ac:dyDescent="0.3">
      <c r="A250" s="262"/>
      <c r="B250" s="264" t="s">
        <v>233</v>
      </c>
      <c r="C250" s="354"/>
      <c r="D250" s="354"/>
      <c r="E250" s="354"/>
      <c r="F250" s="354"/>
      <c r="G250" s="354"/>
      <c r="H250" s="354"/>
      <c r="I250" s="354"/>
      <c r="J250" s="264">
        <v>5</v>
      </c>
      <c r="K250" s="355">
        <f t="shared" si="5"/>
        <v>1.0245901639344262E-2</v>
      </c>
      <c r="L250" s="265">
        <v>78</v>
      </c>
      <c r="M250" s="355">
        <f t="shared" si="6"/>
        <v>4.2529989094874593E-3</v>
      </c>
      <c r="N250" s="397"/>
      <c r="O250" s="356"/>
      <c r="P250" s="5"/>
      <c r="Q250" s="104"/>
    </row>
    <row r="251" spans="1:17" ht="18" customHeight="1"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488</v>
      </c>
      <c r="K252" s="355">
        <f>SUM(K238:K251)</f>
        <v>0.99999999999999978</v>
      </c>
      <c r="L252" s="265">
        <f>SUM(L238:L251)</f>
        <v>18340</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1</v>
      </c>
      <c r="K272" s="355">
        <f t="shared" ref="K272:K284" si="7">J272/$J$286</f>
        <v>0.33333333333333331</v>
      </c>
      <c r="L272" s="265">
        <v>93</v>
      </c>
      <c r="M272" s="355">
        <f t="shared" ref="M272:M284" si="8">L272/$L$286</f>
        <v>0.29617834394904458</v>
      </c>
      <c r="N272" s="263"/>
      <c r="O272" s="266"/>
      <c r="P272" s="5"/>
    </row>
    <row r="273" spans="1:16" ht="15.6" x14ac:dyDescent="0.3">
      <c r="A273" s="262"/>
      <c r="B273" s="264" t="s">
        <v>86</v>
      </c>
      <c r="C273" s="263"/>
      <c r="D273" s="357"/>
      <c r="E273" s="357"/>
      <c r="F273" s="357"/>
      <c r="G273" s="357"/>
      <c r="H273" s="357"/>
      <c r="I273" s="357"/>
      <c r="J273" s="264">
        <v>1</v>
      </c>
      <c r="K273" s="355">
        <f t="shared" si="7"/>
        <v>0.33333333333333331</v>
      </c>
      <c r="L273" s="265">
        <v>79</v>
      </c>
      <c r="M273" s="355">
        <f t="shared" si="8"/>
        <v>0.25159235668789809</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1</v>
      </c>
      <c r="K284" s="355">
        <f t="shared" si="7"/>
        <v>0.33333333333333331</v>
      </c>
      <c r="L284" s="265">
        <v>142</v>
      </c>
      <c r="M284" s="355">
        <f t="shared" si="8"/>
        <v>0.45222929936305734</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3</v>
      </c>
      <c r="K286" s="355">
        <f>SUM(K272:K284)</f>
        <v>1</v>
      </c>
      <c r="L286" s="265">
        <f>SUM(L272:L284)</f>
        <v>314</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491</v>
      </c>
      <c r="K288" s="355"/>
      <c r="L288" s="359">
        <f>+L286+L269+L252</f>
        <v>18654</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385"/>
      <c r="B293" s="229" t="s">
        <v>273</v>
      </c>
      <c r="C293" s="229"/>
      <c r="D293" s="256" t="s">
        <v>240</v>
      </c>
      <c r="E293" s="256"/>
      <c r="F293" s="229" t="s">
        <v>241</v>
      </c>
      <c r="G293" s="229"/>
      <c r="H293" s="255"/>
      <c r="I293" s="255"/>
      <c r="J293" s="256"/>
      <c r="K293" s="229"/>
      <c r="L293" s="229"/>
      <c r="M293" s="255"/>
      <c r="N293" s="255"/>
      <c r="O293" s="255"/>
      <c r="P293" s="5"/>
    </row>
    <row r="294" spans="1:16" ht="15.6" x14ac:dyDescent="0.3">
      <c r="A294" s="226"/>
      <c r="B294" s="229" t="s">
        <v>274</v>
      </c>
      <c r="C294" s="229"/>
      <c r="D294" s="256" t="s">
        <v>137</v>
      </c>
      <c r="E294" s="229"/>
      <c r="F294" s="229" t="s">
        <v>142</v>
      </c>
      <c r="G294" s="255"/>
      <c r="H294" s="255"/>
      <c r="I294" s="255"/>
      <c r="J294" s="256"/>
      <c r="K294" s="229"/>
      <c r="L294" s="229"/>
      <c r="M294" s="255"/>
      <c r="N294" s="255"/>
      <c r="O294" s="255"/>
      <c r="P294" s="5"/>
    </row>
    <row r="295" spans="1:16" ht="15.6" x14ac:dyDescent="0.3">
      <c r="A295" s="226"/>
      <c r="B295" s="196"/>
      <c r="C295" s="196"/>
      <c r="D295" s="202"/>
      <c r="E295" s="202"/>
      <c r="F295" s="202"/>
      <c r="G295" s="202"/>
      <c r="H295" s="202"/>
      <c r="I295" s="202"/>
      <c r="J295" s="202"/>
      <c r="K295" s="202"/>
      <c r="L295" s="202"/>
      <c r="M295" s="202"/>
      <c r="N295" s="202"/>
      <c r="O295" s="202"/>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8" thickBot="1" x14ac:dyDescent="0.35">
      <c r="A297" s="226"/>
      <c r="B297" s="257" t="str">
        <f>B182</f>
        <v>FF7 INVESTOR REPORT QUARTER ENDING FEBRUARY 2017</v>
      </c>
      <c r="C297" s="196"/>
      <c r="D297" s="202"/>
      <c r="E297" s="202"/>
      <c r="F297" s="202"/>
      <c r="G297" s="202"/>
      <c r="H297" s="202"/>
      <c r="I297" s="202"/>
      <c r="J297" s="202"/>
      <c r="K297" s="202"/>
      <c r="L297" s="202"/>
      <c r="M297" s="202"/>
      <c r="N297" s="202"/>
      <c r="O297" s="202"/>
      <c r="P297" s="5"/>
    </row>
    <row r="298" spans="1:16" x14ac:dyDescent="0.25">
      <c r="A298" s="95"/>
      <c r="B298" s="95"/>
      <c r="C298" s="95"/>
      <c r="D298" s="95"/>
      <c r="E298" s="95"/>
      <c r="F298" s="95"/>
      <c r="G298" s="95"/>
      <c r="H298" s="95"/>
      <c r="I298" s="95"/>
      <c r="J298" s="95"/>
      <c r="K298" s="95"/>
      <c r="L298" s="95"/>
      <c r="M298" s="95"/>
      <c r="N298" s="95"/>
      <c r="O298" s="95"/>
    </row>
  </sheetData>
  <printOptions horizontalCentered="1" verticalCentered="1"/>
  <pageMargins left="0.19685039370078741" right="0.19685039370078741" top="0.27559055118110237" bottom="0.27559055118110237" header="0" footer="0"/>
  <pageSetup scale="53" orientation="landscape" r:id="rId1"/>
  <headerFooter alignWithMargins="0"/>
  <rowBreaks count="3" manualBreakCount="3">
    <brk id="52" max="14" man="1"/>
    <brk id="115" max="14" man="1"/>
    <brk id="182" max="14" man="1"/>
  </rowBreaks>
  <colBreaks count="1" manualBreakCount="1">
    <brk id="15" max="298"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V298"/>
  <sheetViews>
    <sheetView showGridLines="0" showOutlineSymbols="0" zoomScale="80" zoomScaleNormal="8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0.17430000000000001</v>
      </c>
      <c r="L16" s="232" t="s">
        <v>133</v>
      </c>
      <c r="M16" s="231">
        <v>0.82569999999999999</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42902</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134</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15456.7675</v>
      </c>
      <c r="E29" s="279"/>
      <c r="F29" s="279">
        <f>F28*F32</f>
        <v>1598.20047</v>
      </c>
      <c r="G29" s="279"/>
      <c r="H29" s="279">
        <f>H28*H32</f>
        <v>1598.20047</v>
      </c>
      <c r="I29" s="279"/>
      <c r="J29" s="284"/>
      <c r="K29" s="279"/>
      <c r="L29" s="279"/>
      <c r="M29" s="280"/>
      <c r="N29" s="279">
        <f>SUM(D29:H29)+1</f>
        <v>18654.168440000001</v>
      </c>
      <c r="O29" s="281"/>
      <c r="P29" s="5"/>
    </row>
    <row r="30" spans="1:16" ht="15.6" x14ac:dyDescent="0.3">
      <c r="A30" s="274"/>
      <c r="B30" s="275" t="s">
        <v>130</v>
      </c>
      <c r="C30" s="278"/>
      <c r="D30" s="285">
        <f>D28*D31</f>
        <v>13805.405900000002</v>
      </c>
      <c r="E30" s="285"/>
      <c r="F30" s="285">
        <f>F28*F31</f>
        <v>1598.20047</v>
      </c>
      <c r="G30" s="285"/>
      <c r="H30" s="285">
        <f>H28*H31</f>
        <v>1598.20047</v>
      </c>
      <c r="I30" s="285"/>
      <c r="J30" s="288"/>
      <c r="K30" s="279"/>
      <c r="L30" s="279"/>
      <c r="M30" s="280"/>
      <c r="N30" s="285">
        <f>SUM(D30:I30)+1</f>
        <v>17002.806840000001</v>
      </c>
      <c r="O30" s="281"/>
      <c r="P30" s="5"/>
    </row>
    <row r="31" spans="1:16" ht="15.6" x14ac:dyDescent="0.3">
      <c r="A31" s="262"/>
      <c r="B31" s="290" t="s">
        <v>126</v>
      </c>
      <c r="C31" s="291"/>
      <c r="D31" s="292">
        <v>5.2995800000000003E-2</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5.9334999999999999E-2</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5.8387999999999999E-3</v>
      </c>
      <c r="E34" s="297"/>
      <c r="F34" s="298">
        <v>7.0387999999999996E-3</v>
      </c>
      <c r="G34" s="297"/>
      <c r="H34" s="298">
        <v>9.0387999999999996E-3</v>
      </c>
      <c r="I34" s="297"/>
      <c r="J34" s="298"/>
      <c r="K34" s="297"/>
      <c r="L34" s="298"/>
      <c r="M34" s="268"/>
      <c r="N34" s="297">
        <f>SUMPRODUCT(D34:H34,D29:H29)/N29</f>
        <v>6.2154580799674598E-3</v>
      </c>
      <c r="O34" s="266"/>
      <c r="P34" s="5"/>
    </row>
    <row r="35" spans="1:17" ht="15.6" x14ac:dyDescent="0.3">
      <c r="A35" s="274"/>
      <c r="B35" s="263" t="s">
        <v>11</v>
      </c>
      <c r="C35" s="263"/>
      <c r="D35" s="298">
        <v>6.1313000000000001E-3</v>
      </c>
      <c r="E35" s="297"/>
      <c r="F35" s="298">
        <v>7.3312999999999998E-3</v>
      </c>
      <c r="G35" s="297"/>
      <c r="H35" s="298">
        <v>9.3313000000000007E-3</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0.23153255783663701</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42901</v>
      </c>
      <c r="O45" s="266"/>
      <c r="P45" s="5"/>
    </row>
    <row r="46" spans="1:17" ht="15.6" x14ac:dyDescent="0.3">
      <c r="A46" s="274"/>
      <c r="B46" s="263" t="s">
        <v>119</v>
      </c>
      <c r="C46" s="263"/>
      <c r="D46" s="305"/>
      <c r="E46" s="305"/>
      <c r="F46" s="305"/>
      <c r="G46" s="305"/>
      <c r="H46" s="305"/>
      <c r="I46" s="305"/>
      <c r="J46" s="263">
        <f>+N46-L46+1</f>
        <v>90</v>
      </c>
      <c r="K46" s="305"/>
      <c r="L46" s="306">
        <v>42719</v>
      </c>
      <c r="M46" s="307"/>
      <c r="N46" s="306">
        <v>42808</v>
      </c>
      <c r="O46" s="266"/>
      <c r="P46" s="5"/>
    </row>
    <row r="47" spans="1:17" ht="15.6" x14ac:dyDescent="0.3">
      <c r="A47" s="274"/>
      <c r="B47" s="263" t="s">
        <v>120</v>
      </c>
      <c r="C47" s="263"/>
      <c r="D47" s="263"/>
      <c r="E47" s="263"/>
      <c r="F47" s="263"/>
      <c r="G47" s="263"/>
      <c r="H47" s="263"/>
      <c r="I47" s="263"/>
      <c r="J47" s="263">
        <f>+N47-L47+1</f>
        <v>92</v>
      </c>
      <c r="K47" s="263"/>
      <c r="L47" s="306">
        <v>42809</v>
      </c>
      <c r="M47" s="307"/>
      <c r="N47" s="306">
        <v>42900</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42887</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291</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18654</v>
      </c>
      <c r="G56" s="264"/>
      <c r="H56" s="264">
        <v>1651</v>
      </c>
      <c r="I56" s="264"/>
      <c r="J56" s="264">
        <v>0</v>
      </c>
      <c r="K56" s="264"/>
      <c r="L56" s="264">
        <v>0</v>
      </c>
      <c r="M56" s="264"/>
      <c r="N56" s="265">
        <f>+F56-H56+J56-L56</f>
        <v>17003</v>
      </c>
      <c r="O56" s="266"/>
      <c r="P56" s="5"/>
    </row>
    <row r="57" spans="1:16" ht="15.6" x14ac:dyDescent="0.3">
      <c r="A57" s="262"/>
      <c r="B57" s="263" t="s">
        <v>209</v>
      </c>
      <c r="C57" s="264"/>
      <c r="D57" s="264">
        <v>756</v>
      </c>
      <c r="E57" s="264"/>
      <c r="F57" s="265">
        <v>91</v>
      </c>
      <c r="G57" s="264"/>
      <c r="H57" s="264">
        <v>18</v>
      </c>
      <c r="I57" s="264"/>
      <c r="J57" s="264">
        <v>0</v>
      </c>
      <c r="K57" s="264"/>
      <c r="L57" s="264">
        <v>0</v>
      </c>
      <c r="M57" s="264"/>
      <c r="N57" s="265">
        <f>+F57-H57</f>
        <v>73</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18745</v>
      </c>
      <c r="G59" s="264"/>
      <c r="H59" s="264">
        <f>SUM(H56:H58)</f>
        <v>1669</v>
      </c>
      <c r="I59" s="264"/>
      <c r="J59" s="264">
        <f>SUM(J56:J58)</f>
        <v>0</v>
      </c>
      <c r="K59" s="264"/>
      <c r="L59" s="264">
        <f>SUM(L56:L58)</f>
        <v>0</v>
      </c>
      <c r="M59" s="264"/>
      <c r="N59" s="264">
        <f>SUM(N56:N58)</f>
        <v>17076</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-91</v>
      </c>
      <c r="G68" s="264"/>
      <c r="H68" s="264"/>
      <c r="I68" s="264"/>
      <c r="J68" s="264"/>
      <c r="K68" s="264"/>
      <c r="L68" s="264"/>
      <c r="M68" s="264"/>
      <c r="N68" s="265">
        <f>-N57</f>
        <v>-73</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18654</v>
      </c>
      <c r="G72" s="264"/>
      <c r="H72" s="264"/>
      <c r="I72" s="264"/>
      <c r="J72" s="264"/>
      <c r="K72" s="264"/>
      <c r="L72" s="264"/>
      <c r="M72" s="264"/>
      <c r="N72" s="264">
        <f>SUM(N59:N71)</f>
        <v>17003</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42886</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1651-1</f>
        <v>1650</v>
      </c>
      <c r="M77" s="263"/>
      <c r="N77" s="265"/>
      <c r="O77" s="266"/>
      <c r="P77" s="5"/>
    </row>
    <row r="78" spans="1:16" ht="15.6" x14ac:dyDescent="0.3">
      <c r="A78" s="262"/>
      <c r="B78" s="263" t="s">
        <v>176</v>
      </c>
      <c r="C78" s="263"/>
      <c r="D78" s="300"/>
      <c r="E78" s="263"/>
      <c r="F78" s="309"/>
      <c r="G78" s="263"/>
      <c r="H78" s="263"/>
      <c r="I78" s="263"/>
      <c r="J78" s="263"/>
      <c r="K78" s="263"/>
      <c r="L78" s="264"/>
      <c r="M78" s="263"/>
      <c r="N78" s="265">
        <f>468+72+159-320-56-98</f>
        <v>225</v>
      </c>
      <c r="O78" s="266"/>
      <c r="P78" s="5"/>
    </row>
    <row r="79" spans="1:16" ht="15.6" x14ac:dyDescent="0.3">
      <c r="A79" s="262"/>
      <c r="B79" s="263" t="s">
        <v>174</v>
      </c>
      <c r="C79" s="263"/>
      <c r="D79" s="300"/>
      <c r="E79" s="263"/>
      <c r="F79" s="309"/>
      <c r="G79" s="263"/>
      <c r="H79" s="263"/>
      <c r="I79" s="263"/>
      <c r="J79" s="263"/>
      <c r="K79" s="263"/>
      <c r="L79" s="264"/>
      <c r="M79" s="263"/>
      <c r="N79" s="265">
        <f>28+4+110</f>
        <v>142</v>
      </c>
      <c r="O79" s="266"/>
      <c r="P79" s="5"/>
    </row>
    <row r="80" spans="1:16" ht="15.6" x14ac:dyDescent="0.3">
      <c r="A80" s="262"/>
      <c r="B80" s="263" t="s">
        <v>175</v>
      </c>
      <c r="C80" s="263"/>
      <c r="D80" s="300"/>
      <c r="E80" s="263"/>
      <c r="F80" s="309"/>
      <c r="G80" s="263"/>
      <c r="H80" s="263"/>
      <c r="I80" s="263"/>
      <c r="J80" s="263"/>
      <c r="K80" s="263"/>
      <c r="L80" s="264"/>
      <c r="M80" s="263"/>
      <c r="N80" s="265">
        <v>0</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1650</v>
      </c>
      <c r="M83" s="263"/>
      <c r="N83" s="264">
        <f>SUM(N76:N82)</f>
        <v>367</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1650</v>
      </c>
      <c r="M87" s="263"/>
      <c r="N87" s="264">
        <f>N83+N85+N84+N86</f>
        <v>367</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-7-1-41</f>
        <v>-49</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-23</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-3</v>
      </c>
      <c r="O95" s="266"/>
      <c r="P95" s="5"/>
      <c r="Q95" s="104"/>
    </row>
    <row r="96" spans="1:17" ht="15.6" x14ac:dyDescent="0.3">
      <c r="A96" s="274" t="s">
        <v>170</v>
      </c>
      <c r="B96" s="263" t="s">
        <v>216</v>
      </c>
      <c r="C96" s="263"/>
      <c r="D96" s="263"/>
      <c r="E96" s="263"/>
      <c r="F96" s="263"/>
      <c r="G96" s="263"/>
      <c r="H96" s="263"/>
      <c r="I96" s="263"/>
      <c r="J96" s="263"/>
      <c r="K96" s="263"/>
      <c r="L96" s="263"/>
      <c r="M96" s="263"/>
      <c r="N96" s="265">
        <v>-4</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1</v>
      </c>
      <c r="M98" s="263"/>
      <c r="N98" s="265">
        <v>-1</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-7</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-271</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-1651</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-1651</v>
      </c>
      <c r="M111" s="264"/>
      <c r="N111" s="264">
        <f>SUM(N88:N109)</f>
        <v>-367</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MAY 2017</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v>
      </c>
      <c r="O144" s="266"/>
      <c r="P144" s="5"/>
    </row>
    <row r="145" spans="1:256" ht="15.6" x14ac:dyDescent="0.3">
      <c r="A145" s="262"/>
      <c r="B145" s="263" t="s">
        <v>51</v>
      </c>
      <c r="C145" s="263"/>
      <c r="D145" s="263"/>
      <c r="E145" s="263"/>
      <c r="F145" s="263"/>
      <c r="G145" s="263"/>
      <c r="H145" s="263"/>
      <c r="I145" s="263"/>
      <c r="J145" s="263"/>
      <c r="K145" s="263"/>
      <c r="L145" s="263"/>
      <c r="M145" s="263"/>
      <c r="N145" s="265">
        <f>+N143+N144</f>
        <v>1</v>
      </c>
      <c r="O145" s="266"/>
      <c r="P145" s="5"/>
    </row>
    <row r="146" spans="1:256" ht="15.6" x14ac:dyDescent="0.3">
      <c r="A146" s="262"/>
      <c r="B146" s="263" t="s">
        <v>264</v>
      </c>
      <c r="C146" s="263"/>
      <c r="D146" s="263"/>
      <c r="E146" s="263"/>
      <c r="F146" s="263"/>
      <c r="G146" s="263"/>
      <c r="H146" s="263"/>
      <c r="I146" s="263"/>
      <c r="J146" s="263"/>
      <c r="K146" s="263"/>
      <c r="L146" s="263"/>
      <c r="M146" s="263"/>
      <c r="N146" s="265">
        <f>N98</f>
        <v>-1</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17003</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17003</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+'Feb 17'!N161</f>
        <v>91</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17</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1</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73</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+'Feb 17'!L168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13.739130434782609</v>
      </c>
      <c r="O173" s="266" t="s">
        <v>115</v>
      </c>
      <c r="P173" s="5"/>
    </row>
    <row r="174" spans="1:256" ht="15.6" x14ac:dyDescent="0.3">
      <c r="A174" s="262"/>
      <c r="B174" s="263" t="s">
        <v>63</v>
      </c>
      <c r="C174" s="263"/>
      <c r="D174" s="263"/>
      <c r="E174" s="263"/>
      <c r="F174" s="263"/>
      <c r="G174" s="263"/>
      <c r="H174" s="263"/>
      <c r="I174" s="263"/>
      <c r="J174" s="263"/>
      <c r="K174" s="263"/>
      <c r="L174" s="263"/>
      <c r="M174" s="263"/>
      <c r="N174" s="315">
        <v>2.23</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97.666666666666671</v>
      </c>
      <c r="O175" s="266" t="s">
        <v>115</v>
      </c>
      <c r="P175" s="5"/>
    </row>
    <row r="176" spans="1:256" ht="15.6" x14ac:dyDescent="0.3">
      <c r="A176" s="262"/>
      <c r="B176" s="263" t="s">
        <v>65</v>
      </c>
      <c r="C176" s="263"/>
      <c r="D176" s="263"/>
      <c r="E176" s="263"/>
      <c r="F176" s="263"/>
      <c r="G176" s="263"/>
      <c r="H176" s="263"/>
      <c r="I176" s="263"/>
      <c r="J176" s="263"/>
      <c r="K176" s="263"/>
      <c r="L176" s="263"/>
      <c r="M176" s="263"/>
      <c r="N176" s="315">
        <v>51.54</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72.5</v>
      </c>
      <c r="O177" s="266" t="s">
        <v>115</v>
      </c>
      <c r="P177" s="5"/>
    </row>
    <row r="178" spans="1:16" ht="15.6" x14ac:dyDescent="0.3">
      <c r="A178" s="262"/>
      <c r="B178" s="263" t="s">
        <v>167</v>
      </c>
      <c r="C178" s="263"/>
      <c r="D178" s="263"/>
      <c r="E178" s="263"/>
      <c r="F178" s="263"/>
      <c r="G178" s="263"/>
      <c r="H178" s="263"/>
      <c r="I178" s="263"/>
      <c r="J178" s="263"/>
      <c r="K178" s="263"/>
      <c r="L178" s="263"/>
      <c r="M178" s="263"/>
      <c r="N178" s="315">
        <v>48.37</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MAY 2017</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42886</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4.0509999999999997E-2</v>
      </c>
      <c r="M188" s="263"/>
      <c r="N188" s="263"/>
      <c r="O188" s="266"/>
      <c r="P188" s="5"/>
    </row>
    <row r="189" spans="1:16" ht="15.6" x14ac:dyDescent="0.3">
      <c r="A189" s="321"/>
      <c r="B189" s="263" t="s">
        <v>212</v>
      </c>
      <c r="C189" s="322"/>
      <c r="D189" s="303"/>
      <c r="E189" s="303"/>
      <c r="F189" s="303"/>
      <c r="G189" s="303"/>
      <c r="H189" s="303"/>
      <c r="I189" s="303"/>
      <c r="J189" s="303"/>
      <c r="K189" s="303"/>
      <c r="L189" s="297">
        <f>N34</f>
        <v>6.2154580799674598E-3</v>
      </c>
      <c r="M189" s="263"/>
      <c r="N189" s="263"/>
      <c r="O189" s="266"/>
      <c r="P189" s="5"/>
    </row>
    <row r="190" spans="1:16" ht="15.6" x14ac:dyDescent="0.3">
      <c r="A190" s="321"/>
      <c r="B190" s="263" t="s">
        <v>70</v>
      </c>
      <c r="C190" s="322"/>
      <c r="D190" s="303"/>
      <c r="E190" s="303"/>
      <c r="F190" s="303"/>
      <c r="G190" s="303"/>
      <c r="H190" s="303"/>
      <c r="I190" s="303"/>
      <c r="J190" s="303"/>
      <c r="K190" s="303"/>
      <c r="L190" s="297">
        <f>L188-L189</f>
        <v>3.4294541920032534E-2</v>
      </c>
      <c r="M190" s="263"/>
      <c r="N190" s="263"/>
      <c r="O190" s="266"/>
      <c r="P190" s="5"/>
    </row>
    <row r="191" spans="1:16" ht="15.6" x14ac:dyDescent="0.3">
      <c r="A191" s="321"/>
      <c r="B191" s="263" t="s">
        <v>203</v>
      </c>
      <c r="C191" s="322"/>
      <c r="D191" s="303"/>
      <c r="E191" s="303"/>
      <c r="F191" s="303"/>
      <c r="G191" s="303"/>
      <c r="H191" s="303"/>
      <c r="I191" s="303"/>
      <c r="J191" s="303"/>
      <c r="K191" s="303"/>
      <c r="L191" s="297">
        <f>+N87/F59</f>
        <v>1.9578554281141639E-2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4.57</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8.8506486544440877E-2</v>
      </c>
      <c r="M197" s="263"/>
      <c r="N197" s="263"/>
      <c r="O197" s="266"/>
      <c r="P197" s="5"/>
    </row>
    <row r="198" spans="1:16" ht="15.6" x14ac:dyDescent="0.3">
      <c r="A198" s="321"/>
      <c r="B198" s="263" t="s">
        <v>74</v>
      </c>
      <c r="C198" s="322"/>
      <c r="D198" s="303"/>
      <c r="E198" s="303"/>
      <c r="F198" s="303"/>
      <c r="G198" s="303"/>
      <c r="H198" s="303"/>
      <c r="I198" s="303"/>
      <c r="J198" s="303"/>
      <c r="K198" s="303"/>
      <c r="L198" s="297">
        <v>0.27139999999999997</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2</v>
      </c>
      <c r="L201" s="331">
        <v>138</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1</v>
      </c>
      <c r="L203" s="331">
        <f>+L286</f>
        <v>93</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v>
      </c>
      <c r="M207" s="291"/>
      <c r="N207" s="337"/>
      <c r="O207" s="342"/>
      <c r="P207" s="5"/>
    </row>
    <row r="208" spans="1:16" ht="15.6" x14ac:dyDescent="0.3">
      <c r="A208" s="330"/>
      <c r="B208" s="263" t="s">
        <v>82</v>
      </c>
      <c r="C208" s="264"/>
      <c r="D208" s="263"/>
      <c r="E208" s="263"/>
      <c r="F208" s="263"/>
      <c r="G208" s="263"/>
      <c r="H208" s="263"/>
      <c r="I208" s="263"/>
      <c r="J208" s="263"/>
      <c r="K208" s="276"/>
      <c r="L208" s="331">
        <f>'Feb 17'!L208+L207</f>
        <v>217</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2</v>
      </c>
      <c r="L210" s="331">
        <v>221</v>
      </c>
      <c r="M210" s="291"/>
      <c r="N210" s="337"/>
      <c r="O210" s="342"/>
      <c r="P210" s="5"/>
    </row>
    <row r="211" spans="1:17" ht="15.6" x14ac:dyDescent="0.3">
      <c r="A211" s="347"/>
      <c r="B211" s="263" t="s">
        <v>83</v>
      </c>
      <c r="C211" s="300"/>
      <c r="D211" s="263"/>
      <c r="E211" s="263"/>
      <c r="F211" s="263"/>
      <c r="G211" s="263"/>
      <c r="H211" s="263"/>
      <c r="I211" s="263"/>
      <c r="J211" s="263"/>
      <c r="K211" s="263"/>
      <c r="L211" s="339">
        <v>14.47</v>
      </c>
      <c r="M211" s="291"/>
      <c r="N211" s="337"/>
      <c r="O211" s="342"/>
      <c r="P211" s="5"/>
    </row>
    <row r="212" spans="1:17" ht="15.6" x14ac:dyDescent="0.3">
      <c r="A212" s="347"/>
      <c r="B212" s="263" t="s">
        <v>84</v>
      </c>
      <c r="C212" s="300"/>
      <c r="D212" s="263"/>
      <c r="E212" s="263"/>
      <c r="F212" s="263"/>
      <c r="G212" s="263"/>
      <c r="H212" s="263"/>
      <c r="I212" s="263"/>
      <c r="J212" s="263"/>
      <c r="K212" s="263"/>
      <c r="L212" s="339">
        <v>66.78</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443</v>
      </c>
      <c r="K221" s="355">
        <f t="shared" ref="K221:K233" si="2">J221/$J$235</f>
        <v>0.9609544468546638</v>
      </c>
      <c r="L221" s="265">
        <f t="shared" ref="L221:L233" si="3">+L238+L255+L272</f>
        <v>16334</v>
      </c>
      <c r="M221" s="355">
        <f t="shared" ref="M221:M233" si="4">L221/$L$235</f>
        <v>0.96065400223489972</v>
      </c>
      <c r="N221" s="332"/>
      <c r="O221" s="356"/>
      <c r="P221" s="5"/>
    </row>
    <row r="222" spans="1:17" ht="15.6" x14ac:dyDescent="0.3">
      <c r="A222" s="262"/>
      <c r="B222" s="264" t="s">
        <v>86</v>
      </c>
      <c r="C222" s="354"/>
      <c r="D222" s="354"/>
      <c r="E222" s="354"/>
      <c r="F222" s="354"/>
      <c r="G222" s="354"/>
      <c r="H222" s="354"/>
      <c r="I222" s="354"/>
      <c r="J222" s="264">
        <f t="shared" si="1"/>
        <v>4</v>
      </c>
      <c r="K222" s="355">
        <f t="shared" si="2"/>
        <v>8.6767895878524948E-3</v>
      </c>
      <c r="L222" s="265">
        <f t="shared" si="3"/>
        <v>247</v>
      </c>
      <c r="M222" s="355">
        <f t="shared" si="4"/>
        <v>1.4526848203258249E-2</v>
      </c>
      <c r="N222" s="332"/>
      <c r="O222" s="356"/>
      <c r="P222" s="5"/>
      <c r="Q222" s="104"/>
    </row>
    <row r="223" spans="1:17" ht="15.6" x14ac:dyDescent="0.3">
      <c r="A223" s="262"/>
      <c r="B223" s="264" t="s">
        <v>87</v>
      </c>
      <c r="C223" s="354"/>
      <c r="D223" s="354"/>
      <c r="E223" s="354"/>
      <c r="F223" s="354"/>
      <c r="G223" s="354"/>
      <c r="H223" s="354"/>
      <c r="I223" s="354"/>
      <c r="J223" s="264">
        <f t="shared" si="1"/>
        <v>3</v>
      </c>
      <c r="K223" s="355">
        <f t="shared" si="2"/>
        <v>6.5075921908893707E-3</v>
      </c>
      <c r="L223" s="265">
        <f t="shared" si="3"/>
        <v>67</v>
      </c>
      <c r="M223" s="355">
        <f t="shared" si="4"/>
        <v>3.9404810915720755E-3</v>
      </c>
      <c r="N223" s="332"/>
      <c r="O223" s="356"/>
      <c r="P223" s="5"/>
    </row>
    <row r="224" spans="1:17" ht="15.6" x14ac:dyDescent="0.3">
      <c r="A224" s="262"/>
      <c r="B224" s="264" t="s">
        <v>145</v>
      </c>
      <c r="C224" s="354"/>
      <c r="D224" s="354"/>
      <c r="E224" s="354"/>
      <c r="F224" s="354"/>
      <c r="G224" s="354"/>
      <c r="H224" s="354"/>
      <c r="I224" s="354"/>
      <c r="J224" s="264">
        <f t="shared" si="1"/>
        <v>1</v>
      </c>
      <c r="K224" s="355">
        <f t="shared" si="2"/>
        <v>2.1691973969631237E-3</v>
      </c>
      <c r="L224" s="265">
        <f t="shared" si="3"/>
        <v>110</v>
      </c>
      <c r="M224" s="355">
        <f t="shared" si="4"/>
        <v>6.4694465682526613E-3</v>
      </c>
      <c r="N224" s="332"/>
      <c r="O224" s="356"/>
      <c r="P224" s="5"/>
      <c r="Q224" s="104"/>
    </row>
    <row r="225" spans="1:17" ht="15.6" x14ac:dyDescent="0.3">
      <c r="A225" s="262"/>
      <c r="B225" s="264" t="s">
        <v>146</v>
      </c>
      <c r="C225" s="354"/>
      <c r="D225" s="354"/>
      <c r="E225" s="354"/>
      <c r="F225" s="354"/>
      <c r="G225" s="354"/>
      <c r="H225" s="354"/>
      <c r="I225" s="354"/>
      <c r="J225" s="264">
        <f t="shared" si="1"/>
        <v>1</v>
      </c>
      <c r="K225" s="355">
        <f t="shared" si="2"/>
        <v>2.1691973969631237E-3</v>
      </c>
      <c r="L225" s="265">
        <f t="shared" si="3"/>
        <v>61</v>
      </c>
      <c r="M225" s="355">
        <f t="shared" si="4"/>
        <v>3.5876021878492033E-3</v>
      </c>
      <c r="N225" s="332"/>
      <c r="O225" s="356"/>
      <c r="P225" s="5"/>
    </row>
    <row r="226" spans="1:17" ht="15.6" x14ac:dyDescent="0.3">
      <c r="A226" s="262"/>
      <c r="B226" s="264" t="s">
        <v>147</v>
      </c>
      <c r="C226" s="354"/>
      <c r="D226" s="354"/>
      <c r="E226" s="354"/>
      <c r="F226" s="354"/>
      <c r="G226" s="354"/>
      <c r="H226" s="354"/>
      <c r="I226" s="354"/>
      <c r="J226" s="264">
        <f t="shared" si="1"/>
        <v>1</v>
      </c>
      <c r="K226" s="355">
        <f t="shared" si="2"/>
        <v>2.1691973969631237E-3</v>
      </c>
      <c r="L226" s="265">
        <f t="shared" si="3"/>
        <v>44</v>
      </c>
      <c r="M226" s="355">
        <f t="shared" si="4"/>
        <v>2.5877786273010646E-3</v>
      </c>
      <c r="N226" s="332"/>
      <c r="O226" s="356"/>
      <c r="P226" s="5"/>
      <c r="Q226" s="104"/>
    </row>
    <row r="227" spans="1:17" ht="15.6" x14ac:dyDescent="0.3">
      <c r="A227" s="262"/>
      <c r="B227" s="264" t="s">
        <v>227</v>
      </c>
      <c r="C227" s="354"/>
      <c r="D227" s="354"/>
      <c r="E227" s="354"/>
      <c r="F227" s="354"/>
      <c r="G227" s="354"/>
      <c r="H227" s="354"/>
      <c r="I227" s="354"/>
      <c r="J227" s="264">
        <f t="shared" si="1"/>
        <v>0</v>
      </c>
      <c r="K227" s="355">
        <f t="shared" si="2"/>
        <v>0</v>
      </c>
      <c r="L227" s="265">
        <f t="shared" si="3"/>
        <v>0</v>
      </c>
      <c r="M227" s="355">
        <f t="shared" si="4"/>
        <v>0</v>
      </c>
      <c r="N227" s="332"/>
      <c r="O227" s="356"/>
      <c r="P227" s="5"/>
    </row>
    <row r="228" spans="1:17" ht="15.6" x14ac:dyDescent="0.3">
      <c r="A228" s="262"/>
      <c r="B228" s="264" t="s">
        <v>228</v>
      </c>
      <c r="C228" s="354"/>
      <c r="D228" s="354"/>
      <c r="E228" s="354"/>
      <c r="F228" s="354"/>
      <c r="G228" s="354"/>
      <c r="H228" s="354"/>
      <c r="I228" s="354"/>
      <c r="J228" s="264">
        <f t="shared" si="1"/>
        <v>0</v>
      </c>
      <c r="K228" s="355">
        <f t="shared" si="2"/>
        <v>0</v>
      </c>
      <c r="L228" s="265">
        <f t="shared" si="3"/>
        <v>0</v>
      </c>
      <c r="M228" s="355">
        <f t="shared" si="4"/>
        <v>0</v>
      </c>
      <c r="N228" s="332"/>
      <c r="O228" s="356"/>
      <c r="P228" s="5"/>
      <c r="Q228" s="104"/>
    </row>
    <row r="229" spans="1:17" ht="15.6" x14ac:dyDescent="0.3">
      <c r="A229" s="262"/>
      <c r="B229" s="264" t="s">
        <v>229</v>
      </c>
      <c r="C229" s="354"/>
      <c r="D229" s="354"/>
      <c r="E229" s="354"/>
      <c r="F229" s="354"/>
      <c r="G229" s="354"/>
      <c r="H229" s="354"/>
      <c r="I229" s="354"/>
      <c r="J229" s="264">
        <f t="shared" si="1"/>
        <v>3</v>
      </c>
      <c r="K229" s="355">
        <f t="shared" si="2"/>
        <v>6.5075921908893707E-3</v>
      </c>
      <c r="L229" s="265">
        <f t="shared" si="3"/>
        <v>39</v>
      </c>
      <c r="M229" s="355">
        <f t="shared" si="4"/>
        <v>2.2937128741986708E-3</v>
      </c>
      <c r="N229" s="332"/>
      <c r="O229" s="356"/>
      <c r="P229" s="5"/>
      <c r="Q229" s="104"/>
    </row>
    <row r="230" spans="1:17" ht="15.6" x14ac:dyDescent="0.3">
      <c r="A230" s="262"/>
      <c r="B230" s="264" t="s">
        <v>230</v>
      </c>
      <c r="C230" s="354"/>
      <c r="D230" s="354"/>
      <c r="E230" s="354"/>
      <c r="F230" s="354"/>
      <c r="G230" s="354"/>
      <c r="H230" s="354"/>
      <c r="I230" s="354"/>
      <c r="J230" s="264">
        <f t="shared" si="1"/>
        <v>0</v>
      </c>
      <c r="K230" s="355">
        <f t="shared" si="2"/>
        <v>0</v>
      </c>
      <c r="L230" s="265">
        <f t="shared" si="3"/>
        <v>0</v>
      </c>
      <c r="M230" s="355">
        <f t="shared" si="4"/>
        <v>0</v>
      </c>
      <c r="N230" s="332"/>
      <c r="O230" s="356"/>
      <c r="P230" s="5"/>
      <c r="Q230" s="104"/>
    </row>
    <row r="231" spans="1:17" ht="15.6" x14ac:dyDescent="0.3">
      <c r="A231" s="262"/>
      <c r="B231" s="264" t="s">
        <v>231</v>
      </c>
      <c r="C231" s="354"/>
      <c r="D231" s="354"/>
      <c r="E231" s="354"/>
      <c r="F231" s="354"/>
      <c r="G231" s="354"/>
      <c r="H231" s="354"/>
      <c r="I231" s="354"/>
      <c r="J231" s="264">
        <f t="shared" si="1"/>
        <v>0</v>
      </c>
      <c r="K231" s="355">
        <f t="shared" si="2"/>
        <v>0</v>
      </c>
      <c r="L231" s="265">
        <f t="shared" si="3"/>
        <v>0</v>
      </c>
      <c r="M231" s="355">
        <f t="shared" si="4"/>
        <v>0</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2.1691973969631237E-3</v>
      </c>
      <c r="L232" s="265">
        <f t="shared" si="3"/>
        <v>52</v>
      </c>
      <c r="M232" s="355">
        <f t="shared" si="4"/>
        <v>3.0582838322648943E-3</v>
      </c>
      <c r="N232" s="332"/>
      <c r="O232" s="356"/>
      <c r="P232" s="5"/>
      <c r="Q232" s="104"/>
    </row>
    <row r="233" spans="1:17" ht="15.6" x14ac:dyDescent="0.3">
      <c r="A233" s="262"/>
      <c r="B233" s="264" t="s">
        <v>233</v>
      </c>
      <c r="C233" s="354"/>
      <c r="D233" s="354"/>
      <c r="E233" s="354"/>
      <c r="F233" s="354"/>
      <c r="G233" s="354"/>
      <c r="H233" s="354"/>
      <c r="I233" s="354"/>
      <c r="J233" s="264">
        <f t="shared" si="1"/>
        <v>4</v>
      </c>
      <c r="K233" s="355">
        <f t="shared" si="2"/>
        <v>8.6767895878524948E-3</v>
      </c>
      <c r="L233" s="265">
        <f t="shared" si="3"/>
        <v>49</v>
      </c>
      <c r="M233" s="355">
        <f t="shared" si="4"/>
        <v>2.881844380403458E-3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461</v>
      </c>
      <c r="K235" s="355">
        <f>SUM(K221:K234)</f>
        <v>0.99999999999999978</v>
      </c>
      <c r="L235" s="265">
        <f>SUM(L221:L234)</f>
        <v>17003</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442</v>
      </c>
      <c r="K238" s="355">
        <f t="shared" ref="K238:K250" si="5">J238/$J$252</f>
        <v>0.96086956521739131</v>
      </c>
      <c r="L238" s="265">
        <v>16241</v>
      </c>
      <c r="M238" s="355">
        <f t="shared" ref="M238:M250" si="6">L238/$L$252</f>
        <v>0.96043761088113544</v>
      </c>
      <c r="N238" s="332"/>
      <c r="O238" s="356"/>
      <c r="P238" s="5"/>
    </row>
    <row r="239" spans="1:17" ht="15.6" x14ac:dyDescent="0.3">
      <c r="A239" s="262"/>
      <c r="B239" s="264" t="s">
        <v>86</v>
      </c>
      <c r="C239" s="354"/>
      <c r="D239" s="354"/>
      <c r="E239" s="354"/>
      <c r="F239" s="354"/>
      <c r="G239" s="354"/>
      <c r="H239" s="354"/>
      <c r="I239" s="354"/>
      <c r="J239" s="264">
        <v>4</v>
      </c>
      <c r="K239" s="355">
        <f t="shared" si="5"/>
        <v>8.6956521739130436E-3</v>
      </c>
      <c r="L239" s="265">
        <v>247</v>
      </c>
      <c r="M239" s="355">
        <f t="shared" si="6"/>
        <v>1.4606741573033709E-2</v>
      </c>
      <c r="N239" s="332"/>
      <c r="O239" s="356"/>
      <c r="P239" s="5"/>
      <c r="Q239" s="104"/>
    </row>
    <row r="240" spans="1:17" ht="15.6" x14ac:dyDescent="0.3">
      <c r="A240" s="262"/>
      <c r="B240" s="264" t="s">
        <v>87</v>
      </c>
      <c r="C240" s="354"/>
      <c r="D240" s="354"/>
      <c r="E240" s="354"/>
      <c r="F240" s="354"/>
      <c r="G240" s="354"/>
      <c r="H240" s="354"/>
      <c r="I240" s="354"/>
      <c r="J240" s="264">
        <v>3</v>
      </c>
      <c r="K240" s="355">
        <f t="shared" si="5"/>
        <v>6.5217391304347823E-3</v>
      </c>
      <c r="L240" s="265">
        <v>67</v>
      </c>
      <c r="M240" s="355">
        <f t="shared" si="6"/>
        <v>3.9621525724423418E-3</v>
      </c>
      <c r="N240" s="332"/>
      <c r="O240" s="356"/>
      <c r="P240" s="5"/>
    </row>
    <row r="241" spans="1:17" ht="15.6" x14ac:dyDescent="0.3">
      <c r="A241" s="262"/>
      <c r="B241" s="264" t="s">
        <v>145</v>
      </c>
      <c r="C241" s="354"/>
      <c r="D241" s="354"/>
      <c r="E241" s="354"/>
      <c r="F241" s="354"/>
      <c r="G241" s="354"/>
      <c r="H241" s="354"/>
      <c r="I241" s="354"/>
      <c r="J241" s="264">
        <v>1</v>
      </c>
      <c r="K241" s="355">
        <f t="shared" si="5"/>
        <v>2.1739130434782609E-3</v>
      </c>
      <c r="L241" s="265">
        <v>110</v>
      </c>
      <c r="M241" s="355">
        <f t="shared" si="6"/>
        <v>6.5050266114725017E-3</v>
      </c>
      <c r="N241" s="332"/>
      <c r="O241" s="356"/>
      <c r="P241" s="5"/>
      <c r="Q241" s="104"/>
    </row>
    <row r="242" spans="1:17" ht="15.6" x14ac:dyDescent="0.3">
      <c r="A242" s="262"/>
      <c r="B242" s="264" t="s">
        <v>146</v>
      </c>
      <c r="C242" s="354"/>
      <c r="D242" s="354"/>
      <c r="E242" s="354"/>
      <c r="F242" s="354"/>
      <c r="G242" s="354"/>
      <c r="H242" s="354"/>
      <c r="I242" s="354"/>
      <c r="J242" s="264">
        <v>1</v>
      </c>
      <c r="K242" s="355">
        <f t="shared" si="5"/>
        <v>2.1739130434782609E-3</v>
      </c>
      <c r="L242" s="265">
        <v>61</v>
      </c>
      <c r="M242" s="355">
        <f t="shared" si="6"/>
        <v>3.6073329390892963E-3</v>
      </c>
      <c r="N242" s="332"/>
      <c r="O242" s="356"/>
      <c r="P242" s="5"/>
    </row>
    <row r="243" spans="1:17" ht="15.6" x14ac:dyDescent="0.3">
      <c r="A243" s="262"/>
      <c r="B243" s="264" t="s">
        <v>147</v>
      </c>
      <c r="C243" s="354"/>
      <c r="D243" s="354"/>
      <c r="E243" s="354"/>
      <c r="F243" s="354"/>
      <c r="G243" s="354"/>
      <c r="H243" s="354"/>
      <c r="I243" s="354"/>
      <c r="J243" s="264">
        <v>1</v>
      </c>
      <c r="K243" s="355">
        <f t="shared" si="5"/>
        <v>2.1739130434782609E-3</v>
      </c>
      <c r="L243" s="265">
        <v>44</v>
      </c>
      <c r="M243" s="355">
        <f t="shared" si="6"/>
        <v>2.6020106445890008E-3</v>
      </c>
      <c r="N243" s="332"/>
      <c r="O243" s="356"/>
      <c r="P243" s="5"/>
      <c r="Q243" s="104"/>
    </row>
    <row r="244" spans="1:17" ht="15.6" x14ac:dyDescent="0.3">
      <c r="A244" s="262"/>
      <c r="B244" s="264" t="s">
        <v>227</v>
      </c>
      <c r="C244" s="354"/>
      <c r="D244" s="354"/>
      <c r="E244" s="354"/>
      <c r="F244" s="354"/>
      <c r="G244" s="354"/>
      <c r="H244" s="354"/>
      <c r="I244" s="354"/>
      <c r="J244" s="264">
        <v>0</v>
      </c>
      <c r="K244" s="355">
        <f t="shared" si="5"/>
        <v>0</v>
      </c>
      <c r="L244" s="265">
        <v>0</v>
      </c>
      <c r="M244" s="355">
        <f t="shared" si="6"/>
        <v>0</v>
      </c>
      <c r="N244" s="332"/>
      <c r="O244" s="356"/>
      <c r="P244" s="5"/>
    </row>
    <row r="245" spans="1:17" ht="15.6" x14ac:dyDescent="0.3">
      <c r="A245" s="262"/>
      <c r="B245" s="264" t="s">
        <v>228</v>
      </c>
      <c r="C245" s="354"/>
      <c r="D245" s="354"/>
      <c r="E245" s="354"/>
      <c r="F245" s="354"/>
      <c r="G245" s="354"/>
      <c r="H245" s="354"/>
      <c r="I245" s="354"/>
      <c r="J245" s="264">
        <v>0</v>
      </c>
      <c r="K245" s="355">
        <f t="shared" si="5"/>
        <v>0</v>
      </c>
      <c r="L245" s="265">
        <v>0</v>
      </c>
      <c r="M245" s="355">
        <f t="shared" si="6"/>
        <v>0</v>
      </c>
      <c r="N245" s="332"/>
      <c r="O245" s="356"/>
      <c r="P245" s="5"/>
      <c r="Q245" s="104"/>
    </row>
    <row r="246" spans="1:17" ht="15.6" x14ac:dyDescent="0.3">
      <c r="A246" s="262"/>
      <c r="B246" s="264" t="s">
        <v>229</v>
      </c>
      <c r="C246" s="354"/>
      <c r="D246" s="354"/>
      <c r="E246" s="354"/>
      <c r="F246" s="354"/>
      <c r="G246" s="354"/>
      <c r="H246" s="354"/>
      <c r="I246" s="354"/>
      <c r="J246" s="264">
        <v>3</v>
      </c>
      <c r="K246" s="355">
        <f t="shared" si="5"/>
        <v>6.5217391304347823E-3</v>
      </c>
      <c r="L246" s="265">
        <v>39</v>
      </c>
      <c r="M246" s="355">
        <f t="shared" si="6"/>
        <v>2.3063276167947962E-3</v>
      </c>
      <c r="N246" s="332"/>
      <c r="O246" s="356"/>
      <c r="P246" s="5"/>
      <c r="Q246" s="104"/>
    </row>
    <row r="247" spans="1:17" ht="15.6" x14ac:dyDescent="0.3">
      <c r="A247" s="262"/>
      <c r="B247" s="264" t="s">
        <v>230</v>
      </c>
      <c r="C247" s="354"/>
      <c r="D247" s="354"/>
      <c r="E247" s="354"/>
      <c r="F247" s="354"/>
      <c r="G247" s="354"/>
      <c r="H247" s="354"/>
      <c r="I247" s="354"/>
      <c r="J247" s="264">
        <v>0</v>
      </c>
      <c r="K247" s="355">
        <f t="shared" si="5"/>
        <v>0</v>
      </c>
      <c r="L247" s="265">
        <v>0</v>
      </c>
      <c r="M247" s="355">
        <f t="shared" si="6"/>
        <v>0</v>
      </c>
      <c r="N247" s="332"/>
      <c r="O247" s="356"/>
      <c r="P247" s="5"/>
      <c r="Q247" s="104"/>
    </row>
    <row r="248" spans="1:17" ht="15.6" x14ac:dyDescent="0.3">
      <c r="A248" s="262"/>
      <c r="B248" s="264" t="s">
        <v>231</v>
      </c>
      <c r="C248" s="354"/>
      <c r="D248" s="354"/>
      <c r="E248" s="354"/>
      <c r="F248" s="354"/>
      <c r="G248" s="354"/>
      <c r="H248" s="354"/>
      <c r="I248" s="354"/>
      <c r="J248" s="264">
        <v>0</v>
      </c>
      <c r="K248" s="355">
        <f t="shared" si="5"/>
        <v>0</v>
      </c>
      <c r="L248" s="265">
        <v>0</v>
      </c>
      <c r="M248" s="355">
        <f t="shared" si="6"/>
        <v>0</v>
      </c>
      <c r="N248" s="332"/>
      <c r="O248" s="356"/>
      <c r="P248" s="5"/>
      <c r="Q248" s="104"/>
    </row>
    <row r="249" spans="1:17" ht="15.6" x14ac:dyDescent="0.3">
      <c r="A249" s="262"/>
      <c r="B249" s="264" t="s">
        <v>232</v>
      </c>
      <c r="C249" s="354"/>
      <c r="D249" s="354"/>
      <c r="E249" s="354"/>
      <c r="F249" s="354"/>
      <c r="G249" s="354"/>
      <c r="H249" s="354"/>
      <c r="I249" s="354"/>
      <c r="J249" s="264">
        <v>1</v>
      </c>
      <c r="K249" s="355">
        <f t="shared" si="5"/>
        <v>2.1739130434782609E-3</v>
      </c>
      <c r="L249" s="265">
        <v>52</v>
      </c>
      <c r="M249" s="355">
        <f t="shared" si="6"/>
        <v>3.0751034890597281E-3</v>
      </c>
      <c r="N249" s="397"/>
      <c r="O249" s="356"/>
      <c r="P249" s="5"/>
      <c r="Q249" s="104"/>
    </row>
    <row r="250" spans="1:17" ht="15.6" x14ac:dyDescent="0.3">
      <c r="A250" s="262"/>
      <c r="B250" s="264" t="s">
        <v>233</v>
      </c>
      <c r="C250" s="354"/>
      <c r="D250" s="354"/>
      <c r="E250" s="354"/>
      <c r="F250" s="354"/>
      <c r="G250" s="354"/>
      <c r="H250" s="354"/>
      <c r="I250" s="354"/>
      <c r="J250" s="264">
        <v>4</v>
      </c>
      <c r="K250" s="355">
        <f t="shared" si="5"/>
        <v>8.6956521739130436E-3</v>
      </c>
      <c r="L250" s="265">
        <v>49</v>
      </c>
      <c r="M250" s="355">
        <f t="shared" si="6"/>
        <v>2.8976936723832053E-3</v>
      </c>
      <c r="N250" s="397"/>
      <c r="O250" s="356"/>
      <c r="P250" s="5"/>
      <c r="Q250" s="104"/>
    </row>
    <row r="251" spans="1:17" ht="18" customHeight="1"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460</v>
      </c>
      <c r="K252" s="355">
        <f>SUM(K238:K251)</f>
        <v>0.99999999999999978</v>
      </c>
      <c r="L252" s="265">
        <f>SUM(L238:L251)</f>
        <v>16910</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1</v>
      </c>
      <c r="K272" s="355">
        <f t="shared" ref="K272:K284" si="7">J272/$J$286</f>
        <v>1</v>
      </c>
      <c r="L272" s="265">
        <v>93</v>
      </c>
      <c r="M272" s="355">
        <f t="shared" ref="M272:M284" si="8">L272/$L$286</f>
        <v>1</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0</v>
      </c>
      <c r="K276" s="355">
        <f t="shared" si="7"/>
        <v>0</v>
      </c>
      <c r="L276" s="265">
        <v>0</v>
      </c>
      <c r="M276" s="355">
        <f t="shared" si="8"/>
        <v>0</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1</v>
      </c>
      <c r="K286" s="355">
        <f>SUM(K272:K284)</f>
        <v>1</v>
      </c>
      <c r="L286" s="265">
        <f>SUM(L272:L284)</f>
        <v>93</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461</v>
      </c>
      <c r="K288" s="355"/>
      <c r="L288" s="359">
        <f>+L286+L269+L252</f>
        <v>17003</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385"/>
      <c r="B293" s="229" t="s">
        <v>273</v>
      </c>
      <c r="C293" s="229"/>
      <c r="D293" s="256" t="s">
        <v>240</v>
      </c>
      <c r="E293" s="256"/>
      <c r="F293" s="229" t="s">
        <v>241</v>
      </c>
      <c r="G293" s="229"/>
      <c r="H293" s="255"/>
      <c r="I293" s="255"/>
      <c r="J293" s="256"/>
      <c r="K293" s="229"/>
      <c r="L293" s="229"/>
      <c r="M293" s="255"/>
      <c r="N293" s="255"/>
      <c r="O293" s="255"/>
      <c r="P293" s="5"/>
    </row>
    <row r="294" spans="1:16" ht="15.6" x14ac:dyDescent="0.3">
      <c r="A294" s="226"/>
      <c r="B294" s="229" t="s">
        <v>274</v>
      </c>
      <c r="C294" s="229"/>
      <c r="D294" s="256" t="s">
        <v>137</v>
      </c>
      <c r="E294" s="229"/>
      <c r="F294" s="229" t="s">
        <v>142</v>
      </c>
      <c r="G294" s="255"/>
      <c r="H294" s="255"/>
      <c r="I294" s="255"/>
      <c r="J294" s="256"/>
      <c r="K294" s="229"/>
      <c r="L294" s="229"/>
      <c r="M294" s="255"/>
      <c r="N294" s="255"/>
      <c r="O294" s="255"/>
      <c r="P294" s="5"/>
    </row>
    <row r="295" spans="1:16" ht="15.6" x14ac:dyDescent="0.3">
      <c r="A295" s="226"/>
      <c r="B295" s="196"/>
      <c r="C295" s="196"/>
      <c r="D295" s="202"/>
      <c r="E295" s="202"/>
      <c r="F295" s="202"/>
      <c r="G295" s="202"/>
      <c r="H295" s="202"/>
      <c r="I295" s="202"/>
      <c r="J295" s="202"/>
      <c r="K295" s="202"/>
      <c r="L295" s="202"/>
      <c r="M295" s="202"/>
      <c r="N295" s="202"/>
      <c r="O295" s="202"/>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8" thickBot="1" x14ac:dyDescent="0.35">
      <c r="A297" s="226"/>
      <c r="B297" s="257" t="str">
        <f>B182</f>
        <v>FF7 INVESTOR REPORT QUARTER ENDING MAY 2017</v>
      </c>
      <c r="C297" s="196"/>
      <c r="D297" s="202"/>
      <c r="E297" s="202"/>
      <c r="F297" s="202"/>
      <c r="G297" s="202"/>
      <c r="H297" s="202"/>
      <c r="I297" s="202"/>
      <c r="J297" s="202"/>
      <c r="K297" s="202"/>
      <c r="L297" s="202"/>
      <c r="M297" s="202"/>
      <c r="N297" s="202"/>
      <c r="O297" s="202"/>
      <c r="P297" s="5"/>
    </row>
    <row r="298" spans="1:16" x14ac:dyDescent="0.25">
      <c r="A298" s="95"/>
      <c r="B298" s="95"/>
      <c r="C298" s="95"/>
      <c r="D298" s="95"/>
      <c r="E298" s="95"/>
      <c r="F298" s="95"/>
      <c r="G298" s="95"/>
      <c r="H298" s="95"/>
      <c r="I298" s="95"/>
      <c r="J298" s="95"/>
      <c r="K298" s="95"/>
      <c r="L298" s="95"/>
      <c r="M298" s="95"/>
      <c r="N298" s="95"/>
      <c r="O298" s="95"/>
    </row>
  </sheetData>
  <printOptions horizontalCentered="1" verticalCentered="1"/>
  <pageMargins left="0.19685039370078741" right="0.19685039370078741" top="0.27559055118110237" bottom="0.27559055118110237" header="0" footer="0"/>
  <pageSetup scale="53" orientation="landscape" r:id="rId1"/>
  <headerFooter alignWithMargins="0"/>
  <rowBreaks count="3" manualBreakCount="3">
    <brk id="52" max="14" man="1"/>
    <brk id="115" max="14" man="1"/>
    <brk id="182" max="14" man="1"/>
  </rowBreaks>
  <colBreaks count="1" manualBreakCount="1">
    <brk id="15" max="298"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298"/>
  <sheetViews>
    <sheetView showGridLines="0" showOutlineSymbols="0" zoomScale="80" zoomScaleNormal="8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186"/>
      <c r="B1" s="227" t="s">
        <v>184</v>
      </c>
      <c r="C1" s="187"/>
      <c r="D1" s="187"/>
      <c r="E1" s="187"/>
      <c r="F1" s="187"/>
      <c r="G1" s="187"/>
      <c r="H1" s="187"/>
      <c r="I1" s="187"/>
      <c r="J1" s="187"/>
      <c r="K1" s="187"/>
      <c r="L1" s="187"/>
      <c r="M1" s="187"/>
      <c r="N1" s="187"/>
      <c r="O1" s="187"/>
      <c r="P1" s="5"/>
    </row>
    <row r="2" spans="1:16" ht="15.6" x14ac:dyDescent="0.3">
      <c r="A2" s="188"/>
      <c r="B2" s="189"/>
      <c r="C2" s="190"/>
      <c r="D2" s="190"/>
      <c r="E2" s="190"/>
      <c r="F2" s="190"/>
      <c r="G2" s="190"/>
      <c r="H2" s="190"/>
      <c r="I2" s="190"/>
      <c r="J2" s="190"/>
      <c r="K2" s="190"/>
      <c r="L2" s="190"/>
      <c r="M2" s="190"/>
      <c r="N2" s="190"/>
      <c r="O2" s="190"/>
      <c r="P2" s="5"/>
    </row>
    <row r="3" spans="1:16" ht="15.6" x14ac:dyDescent="0.3">
      <c r="A3" s="191"/>
      <c r="B3" s="192" t="s">
        <v>185</v>
      </c>
      <c r="C3" s="190"/>
      <c r="D3" s="190"/>
      <c r="E3" s="190"/>
      <c r="F3" s="190"/>
      <c r="G3" s="190"/>
      <c r="H3" s="190"/>
      <c r="I3" s="190"/>
      <c r="J3" s="190"/>
      <c r="K3" s="190"/>
      <c r="L3" s="190"/>
      <c r="M3" s="190"/>
      <c r="N3" s="190"/>
      <c r="O3" s="190"/>
      <c r="P3" s="5"/>
    </row>
    <row r="4" spans="1:16" ht="15.6" x14ac:dyDescent="0.3">
      <c r="A4" s="188"/>
      <c r="B4" s="189"/>
      <c r="C4" s="190"/>
      <c r="D4" s="190"/>
      <c r="E4" s="190"/>
      <c r="F4" s="190"/>
      <c r="G4" s="190"/>
      <c r="H4" s="190"/>
      <c r="I4" s="190"/>
      <c r="J4" s="190"/>
      <c r="K4" s="190"/>
      <c r="L4" s="190"/>
      <c r="M4" s="190"/>
      <c r="N4" s="190"/>
      <c r="O4" s="190"/>
      <c r="P4" s="5"/>
    </row>
    <row r="5" spans="1:16" ht="15.6" x14ac:dyDescent="0.3">
      <c r="A5" s="188"/>
      <c r="B5" s="228" t="s">
        <v>243</v>
      </c>
      <c r="C5" s="190"/>
      <c r="D5" s="190"/>
      <c r="E5" s="190"/>
      <c r="F5" s="190"/>
      <c r="G5" s="190"/>
      <c r="H5" s="190"/>
      <c r="I5" s="190"/>
      <c r="J5" s="190"/>
      <c r="K5" s="190"/>
      <c r="L5" s="190"/>
      <c r="M5" s="190"/>
      <c r="N5" s="190"/>
      <c r="O5" s="190"/>
      <c r="P5" s="5"/>
    </row>
    <row r="6" spans="1:16" ht="15.6" x14ac:dyDescent="0.3">
      <c r="A6" s="188"/>
      <c r="B6" s="228" t="s">
        <v>187</v>
      </c>
      <c r="C6" s="190"/>
      <c r="D6" s="190"/>
      <c r="E6" s="190"/>
      <c r="F6" s="190"/>
      <c r="G6" s="190"/>
      <c r="H6" s="190"/>
      <c r="I6" s="190"/>
      <c r="J6" s="190"/>
      <c r="K6" s="190"/>
      <c r="L6" s="190"/>
      <c r="M6" s="190"/>
      <c r="N6" s="190"/>
      <c r="O6" s="190"/>
      <c r="P6" s="5"/>
    </row>
    <row r="7" spans="1:16" ht="15.6" x14ac:dyDescent="0.3">
      <c r="A7" s="188"/>
      <c r="B7" s="228" t="s">
        <v>188</v>
      </c>
      <c r="C7" s="190"/>
      <c r="D7" s="190"/>
      <c r="E7" s="190"/>
      <c r="F7" s="190"/>
      <c r="G7" s="190"/>
      <c r="H7" s="190"/>
      <c r="I7" s="190"/>
      <c r="J7" s="190"/>
      <c r="K7" s="190"/>
      <c r="L7" s="190"/>
      <c r="M7" s="190"/>
      <c r="N7" s="190"/>
      <c r="O7" s="190"/>
      <c r="P7" s="5"/>
    </row>
    <row r="8" spans="1:16" ht="15.6" x14ac:dyDescent="0.3">
      <c r="A8" s="188"/>
      <c r="B8" s="193"/>
      <c r="C8" s="190"/>
      <c r="D8" s="190"/>
      <c r="E8" s="190"/>
      <c r="F8" s="190"/>
      <c r="G8" s="190"/>
      <c r="H8" s="190"/>
      <c r="I8" s="190"/>
      <c r="J8" s="190"/>
      <c r="K8" s="190"/>
      <c r="L8" s="190"/>
      <c r="M8" s="190"/>
      <c r="N8" s="190"/>
      <c r="O8" s="190"/>
      <c r="P8" s="5"/>
    </row>
    <row r="9" spans="1:16" ht="17.399999999999999" x14ac:dyDescent="0.3">
      <c r="A9" s="188"/>
      <c r="B9" s="194" t="s">
        <v>153</v>
      </c>
      <c r="C9" s="190"/>
      <c r="D9" s="195"/>
      <c r="E9" s="190"/>
      <c r="F9" s="195"/>
      <c r="G9" s="190"/>
      <c r="H9" s="190"/>
      <c r="I9" s="190"/>
      <c r="J9" s="190"/>
      <c r="K9" s="190"/>
      <c r="L9" s="190"/>
      <c r="M9" s="190"/>
      <c r="N9" s="190"/>
      <c r="O9" s="190"/>
      <c r="P9" s="5"/>
    </row>
    <row r="10" spans="1:16" ht="15.6" x14ac:dyDescent="0.3">
      <c r="A10" s="188"/>
      <c r="B10" s="193"/>
      <c r="C10" s="196"/>
      <c r="D10" s="190"/>
      <c r="E10" s="190"/>
      <c r="F10" s="190"/>
      <c r="G10" s="190"/>
      <c r="H10" s="190"/>
      <c r="I10" s="190"/>
      <c r="J10" s="190"/>
      <c r="K10" s="190"/>
      <c r="L10" s="190"/>
      <c r="M10" s="190"/>
      <c r="N10" s="190"/>
      <c r="O10" s="190"/>
      <c r="P10" s="5"/>
    </row>
    <row r="11" spans="1:16" ht="15.6" x14ac:dyDescent="0.3">
      <c r="A11" s="188"/>
      <c r="B11" s="229" t="s">
        <v>0</v>
      </c>
      <c r="C11" s="190"/>
      <c r="D11" s="190"/>
      <c r="E11" s="190"/>
      <c r="F11" s="190"/>
      <c r="G11" s="190"/>
      <c r="H11" s="190"/>
      <c r="I11" s="190"/>
      <c r="J11" s="190"/>
      <c r="K11" s="190"/>
      <c r="L11" s="190"/>
      <c r="M11" s="190"/>
      <c r="N11" s="190"/>
      <c r="O11" s="190"/>
      <c r="P11" s="5"/>
    </row>
    <row r="12" spans="1:16" ht="16.2" thickBot="1" x14ac:dyDescent="0.35">
      <c r="A12" s="188"/>
      <c r="B12" s="196"/>
      <c r="C12" s="190"/>
      <c r="D12" s="190"/>
      <c r="E12" s="190"/>
      <c r="F12" s="190"/>
      <c r="G12" s="190"/>
      <c r="H12" s="190"/>
      <c r="I12" s="190"/>
      <c r="J12" s="190"/>
      <c r="K12" s="190"/>
      <c r="L12" s="190"/>
      <c r="M12" s="190"/>
      <c r="N12" s="190"/>
      <c r="O12" s="190"/>
      <c r="P12" s="5"/>
    </row>
    <row r="13" spans="1:16" ht="15.6" x14ac:dyDescent="0.3">
      <c r="A13" s="186"/>
      <c r="B13" s="187"/>
      <c r="C13" s="187"/>
      <c r="D13" s="187"/>
      <c r="E13" s="187"/>
      <c r="F13" s="187"/>
      <c r="G13" s="187"/>
      <c r="H13" s="187"/>
      <c r="I13" s="187"/>
      <c r="J13" s="187"/>
      <c r="K13" s="187"/>
      <c r="L13" s="187"/>
      <c r="M13" s="187"/>
      <c r="N13" s="187"/>
      <c r="O13" s="187"/>
      <c r="P13" s="5"/>
    </row>
    <row r="14" spans="1:16" ht="15.6" x14ac:dyDescent="0.3">
      <c r="A14" s="188"/>
      <c r="B14" s="229" t="s">
        <v>1</v>
      </c>
      <c r="C14" s="197"/>
      <c r="D14" s="197"/>
      <c r="E14" s="197"/>
      <c r="F14" s="197"/>
      <c r="G14" s="197"/>
      <c r="H14" s="197"/>
      <c r="I14" s="197"/>
      <c r="J14" s="197"/>
      <c r="K14" s="197"/>
      <c r="L14" s="197"/>
      <c r="M14" s="197"/>
      <c r="N14" s="233" t="s">
        <v>186</v>
      </c>
      <c r="O14" s="197"/>
      <c r="P14" s="5"/>
    </row>
    <row r="15" spans="1:16" ht="15.6" x14ac:dyDescent="0.3">
      <c r="A15" s="188"/>
      <c r="B15" s="229" t="s">
        <v>2</v>
      </c>
      <c r="C15" s="197"/>
      <c r="D15" s="199"/>
      <c r="E15" s="199"/>
      <c r="F15" s="199"/>
      <c r="G15" s="199"/>
      <c r="H15" s="199"/>
      <c r="I15" s="199"/>
      <c r="J15" s="230" t="s">
        <v>101</v>
      </c>
      <c r="K15" s="231">
        <v>4.07E-2</v>
      </c>
      <c r="L15" s="232" t="s">
        <v>133</v>
      </c>
      <c r="M15" s="231">
        <v>0.95930000000000004</v>
      </c>
      <c r="N15" s="198"/>
      <c r="O15" s="197"/>
      <c r="P15" s="5"/>
    </row>
    <row r="16" spans="1:16" ht="15.6" x14ac:dyDescent="0.3">
      <c r="A16" s="188"/>
      <c r="B16" s="229" t="s">
        <v>3</v>
      </c>
      <c r="C16" s="197"/>
      <c r="D16" s="199"/>
      <c r="E16" s="199"/>
      <c r="F16" s="199"/>
      <c r="G16" s="199"/>
      <c r="H16" s="199"/>
      <c r="I16" s="199"/>
      <c r="J16" s="230" t="s">
        <v>101</v>
      </c>
      <c r="K16" s="231">
        <v>0.18079999999999999</v>
      </c>
      <c r="L16" s="232" t="s">
        <v>133</v>
      </c>
      <c r="M16" s="231">
        <v>0.81920000000000004</v>
      </c>
      <c r="N16" s="198"/>
      <c r="O16" s="197"/>
      <c r="P16" s="5"/>
    </row>
    <row r="17" spans="1:16" ht="15.6" x14ac:dyDescent="0.3">
      <c r="A17" s="188"/>
      <c r="B17" s="229" t="s">
        <v>4</v>
      </c>
      <c r="C17" s="197"/>
      <c r="D17" s="197"/>
      <c r="E17" s="197"/>
      <c r="F17" s="197"/>
      <c r="G17" s="197"/>
      <c r="H17" s="197"/>
      <c r="I17" s="197"/>
      <c r="J17" s="197"/>
      <c r="K17" s="197"/>
      <c r="L17" s="197"/>
      <c r="M17" s="197"/>
      <c r="N17" s="234">
        <v>39107</v>
      </c>
      <c r="O17" s="197"/>
      <c r="P17" s="5"/>
    </row>
    <row r="18" spans="1:16" ht="15.6" x14ac:dyDescent="0.3">
      <c r="A18" s="188"/>
      <c r="B18" s="229" t="s">
        <v>5</v>
      </c>
      <c r="C18" s="197"/>
      <c r="D18" s="197"/>
      <c r="E18" s="197"/>
      <c r="F18" s="197"/>
      <c r="G18" s="197"/>
      <c r="H18" s="197"/>
      <c r="I18" s="197"/>
      <c r="J18" s="197"/>
      <c r="K18" s="197"/>
      <c r="L18" s="197"/>
      <c r="M18" s="197"/>
      <c r="N18" s="234">
        <v>42996</v>
      </c>
      <c r="O18" s="197"/>
      <c r="P18" s="5"/>
    </row>
    <row r="19" spans="1:16" ht="15.6" x14ac:dyDescent="0.3">
      <c r="A19" s="188"/>
      <c r="B19" s="190"/>
      <c r="C19" s="190"/>
      <c r="D19" s="190"/>
      <c r="E19" s="190"/>
      <c r="F19" s="190"/>
      <c r="G19" s="190"/>
      <c r="H19" s="190"/>
      <c r="I19" s="190"/>
      <c r="J19" s="190"/>
      <c r="K19" s="190"/>
      <c r="L19" s="190"/>
      <c r="M19" s="190"/>
      <c r="N19" s="200"/>
      <c r="O19" s="190"/>
      <c r="P19" s="5"/>
    </row>
    <row r="20" spans="1:16" ht="15.6" x14ac:dyDescent="0.3">
      <c r="A20" s="188"/>
      <c r="B20" s="236" t="s">
        <v>6</v>
      </c>
      <c r="C20" s="190"/>
      <c r="D20" s="190"/>
      <c r="E20" s="190"/>
      <c r="F20" s="190"/>
      <c r="G20" s="190"/>
      <c r="H20" s="190"/>
      <c r="I20" s="190"/>
      <c r="J20" s="190"/>
      <c r="K20" s="190"/>
      <c r="L20" s="235" t="s">
        <v>102</v>
      </c>
      <c r="M20" s="190"/>
      <c r="N20" s="202"/>
      <c r="O20" s="190"/>
      <c r="P20" s="5"/>
    </row>
    <row r="21" spans="1:16" ht="15.6" x14ac:dyDescent="0.3">
      <c r="A21" s="188"/>
      <c r="B21" s="190"/>
      <c r="C21" s="190"/>
      <c r="D21" s="190"/>
      <c r="E21" s="190"/>
      <c r="F21" s="190"/>
      <c r="G21" s="190"/>
      <c r="H21" s="190"/>
      <c r="I21" s="190"/>
      <c r="J21" s="190"/>
      <c r="K21" s="190"/>
      <c r="L21" s="190"/>
      <c r="M21" s="190"/>
      <c r="N21" s="203"/>
      <c r="O21" s="190"/>
      <c r="P21" s="5"/>
    </row>
    <row r="22" spans="1:16" ht="15.6" x14ac:dyDescent="0.3">
      <c r="A22" s="360"/>
      <c r="B22" s="361"/>
      <c r="C22" s="362"/>
      <c r="D22" s="362" t="s">
        <v>103</v>
      </c>
      <c r="E22" s="362"/>
      <c r="F22" s="362" t="s">
        <v>189</v>
      </c>
      <c r="G22" s="362"/>
      <c r="H22" s="362" t="s">
        <v>190</v>
      </c>
      <c r="I22" s="362"/>
      <c r="J22" s="362"/>
      <c r="K22" s="364"/>
      <c r="L22" s="364"/>
      <c r="M22" s="365"/>
      <c r="N22" s="365"/>
      <c r="O22" s="361"/>
      <c r="P22" s="5"/>
    </row>
    <row r="23" spans="1:16" ht="15.6" x14ac:dyDescent="0.3">
      <c r="A23" s="262"/>
      <c r="B23" s="263" t="s">
        <v>7</v>
      </c>
      <c r="C23" s="267"/>
      <c r="D23" s="267" t="s">
        <v>134</v>
      </c>
      <c r="E23" s="267"/>
      <c r="F23" s="267" t="s">
        <v>152</v>
      </c>
      <c r="G23" s="267"/>
      <c r="H23" s="267" t="s">
        <v>135</v>
      </c>
      <c r="I23" s="267"/>
      <c r="J23" s="267"/>
      <c r="K23" s="267"/>
      <c r="L23" s="267"/>
      <c r="M23" s="268"/>
      <c r="N23" s="269"/>
      <c r="O23" s="270"/>
      <c r="P23" s="5"/>
    </row>
    <row r="24" spans="1:16" ht="15.6" x14ac:dyDescent="0.3">
      <c r="A24" s="271"/>
      <c r="B24" s="263" t="s">
        <v>162</v>
      </c>
      <c r="C24" s="386"/>
      <c r="D24" s="267" t="s">
        <v>134</v>
      </c>
      <c r="E24" s="267"/>
      <c r="F24" s="267" t="s">
        <v>152</v>
      </c>
      <c r="G24" s="267"/>
      <c r="H24" s="267" t="s">
        <v>135</v>
      </c>
      <c r="I24" s="267"/>
      <c r="J24" s="267"/>
      <c r="K24" s="386"/>
      <c r="L24" s="267"/>
      <c r="M24" s="268"/>
      <c r="N24" s="269"/>
      <c r="O24" s="270"/>
      <c r="P24" s="5"/>
    </row>
    <row r="25" spans="1:16" ht="15.6" x14ac:dyDescent="0.3">
      <c r="A25" s="274"/>
      <c r="B25" s="275" t="s">
        <v>163</v>
      </c>
      <c r="C25" s="267"/>
      <c r="D25" s="386" t="s">
        <v>134</v>
      </c>
      <c r="E25" s="386"/>
      <c r="F25" s="386" t="s">
        <v>267</v>
      </c>
      <c r="G25" s="386"/>
      <c r="H25" s="386" t="s">
        <v>267</v>
      </c>
      <c r="I25" s="386"/>
      <c r="J25" s="386"/>
      <c r="K25" s="267"/>
      <c r="L25" s="276"/>
      <c r="M25" s="268"/>
      <c r="N25" s="268"/>
      <c r="O25" s="266"/>
      <c r="P25" s="5"/>
    </row>
    <row r="26" spans="1:16" ht="15.6" x14ac:dyDescent="0.3">
      <c r="A26" s="274"/>
      <c r="B26" s="275" t="s">
        <v>164</v>
      </c>
      <c r="C26" s="267"/>
      <c r="D26" s="386" t="s">
        <v>134</v>
      </c>
      <c r="E26" s="386"/>
      <c r="F26" s="386" t="s">
        <v>134</v>
      </c>
      <c r="G26" s="386"/>
      <c r="H26" s="386" t="s">
        <v>135</v>
      </c>
      <c r="I26" s="386"/>
      <c r="J26" s="386"/>
      <c r="K26" s="267"/>
      <c r="L26" s="276"/>
      <c r="M26" s="268"/>
      <c r="N26" s="268"/>
      <c r="O26" s="266"/>
      <c r="P26" s="5"/>
    </row>
    <row r="27" spans="1:16" ht="15.6" x14ac:dyDescent="0.3">
      <c r="A27" s="274"/>
      <c r="B27" s="263" t="s">
        <v>8</v>
      </c>
      <c r="C27" s="278"/>
      <c r="D27" s="267" t="s">
        <v>218</v>
      </c>
      <c r="E27" s="267"/>
      <c r="F27" s="267" t="s">
        <v>219</v>
      </c>
      <c r="G27" s="267"/>
      <c r="H27" s="267" t="s">
        <v>220</v>
      </c>
      <c r="I27" s="267"/>
      <c r="J27" s="267"/>
      <c r="K27" s="279"/>
      <c r="L27" s="279"/>
      <c r="M27" s="280"/>
      <c r="N27" s="279"/>
      <c r="O27" s="281"/>
      <c r="P27" s="5"/>
    </row>
    <row r="28" spans="1:16" ht="15.6" x14ac:dyDescent="0.3">
      <c r="A28" s="282"/>
      <c r="B28" s="263" t="s">
        <v>129</v>
      </c>
      <c r="C28" s="283"/>
      <c r="D28" s="279">
        <v>260500</v>
      </c>
      <c r="E28" s="279"/>
      <c r="F28" s="279">
        <v>4050</v>
      </c>
      <c r="G28" s="279"/>
      <c r="H28" s="279">
        <v>4050</v>
      </c>
      <c r="I28" s="279"/>
      <c r="J28" s="284"/>
      <c r="K28" s="285"/>
      <c r="L28" s="285"/>
      <c r="M28" s="286"/>
      <c r="N28" s="279">
        <f>SUM(D28:H28)</f>
        <v>268600</v>
      </c>
      <c r="O28" s="281"/>
      <c r="P28" s="5"/>
    </row>
    <row r="29" spans="1:16" ht="15.6" x14ac:dyDescent="0.3">
      <c r="A29" s="274"/>
      <c r="B29" s="263" t="s">
        <v>128</v>
      </c>
      <c r="C29" s="278"/>
      <c r="D29" s="279">
        <f>D28*D32</f>
        <v>13805.405900000002</v>
      </c>
      <c r="E29" s="279"/>
      <c r="F29" s="279">
        <f>F28*F32</f>
        <v>1598.20047</v>
      </c>
      <c r="G29" s="279"/>
      <c r="H29" s="279">
        <f>H28*H32</f>
        <v>1598.20047</v>
      </c>
      <c r="I29" s="279"/>
      <c r="J29" s="284"/>
      <c r="K29" s="279"/>
      <c r="L29" s="279"/>
      <c r="M29" s="280"/>
      <c r="N29" s="279">
        <f>SUM(D29:H29)+1</f>
        <v>17002.806840000001</v>
      </c>
      <c r="O29" s="281"/>
      <c r="P29" s="5"/>
    </row>
    <row r="30" spans="1:16" ht="15.6" x14ac:dyDescent="0.3">
      <c r="A30" s="274"/>
      <c r="B30" s="275" t="s">
        <v>130</v>
      </c>
      <c r="C30" s="278"/>
      <c r="D30" s="285">
        <f>D28*D31</f>
        <v>12757.6749</v>
      </c>
      <c r="E30" s="285"/>
      <c r="F30" s="285">
        <f>F28*F31</f>
        <v>1598.20047</v>
      </c>
      <c r="G30" s="285"/>
      <c r="H30" s="285">
        <f>H28*H31</f>
        <v>1598.20047</v>
      </c>
      <c r="I30" s="285"/>
      <c r="J30" s="288"/>
      <c r="K30" s="279"/>
      <c r="L30" s="279"/>
      <c r="M30" s="280"/>
      <c r="N30" s="285">
        <f>SUM(D30:I30)+1</f>
        <v>15955.07584</v>
      </c>
      <c r="O30" s="281"/>
      <c r="P30" s="5"/>
    </row>
    <row r="31" spans="1:16" ht="15.6" x14ac:dyDescent="0.3">
      <c r="A31" s="262"/>
      <c r="B31" s="290" t="s">
        <v>126</v>
      </c>
      <c r="C31" s="291"/>
      <c r="D31" s="292">
        <v>4.8973799999999998E-2</v>
      </c>
      <c r="E31" s="292"/>
      <c r="F31" s="292">
        <v>0.39461740000000001</v>
      </c>
      <c r="G31" s="292"/>
      <c r="H31" s="292">
        <v>0.39461740000000001</v>
      </c>
      <c r="I31" s="293"/>
      <c r="J31" s="293"/>
      <c r="K31" s="294"/>
      <c r="L31" s="294"/>
      <c r="M31" s="269"/>
      <c r="N31" s="269"/>
      <c r="O31" s="270"/>
      <c r="P31" s="5"/>
    </row>
    <row r="32" spans="1:16" ht="15.6" x14ac:dyDescent="0.3">
      <c r="A32" s="262"/>
      <c r="B32" s="290" t="s">
        <v>127</v>
      </c>
      <c r="C32" s="291"/>
      <c r="D32" s="292">
        <v>5.2995800000000003E-2</v>
      </c>
      <c r="E32" s="292"/>
      <c r="F32" s="292">
        <v>0.39461740000000001</v>
      </c>
      <c r="G32" s="292"/>
      <c r="H32" s="292">
        <v>0.39461740000000001</v>
      </c>
      <c r="I32" s="293"/>
      <c r="J32" s="293"/>
      <c r="K32" s="295"/>
      <c r="L32" s="296"/>
      <c r="M32" s="269"/>
      <c r="N32" s="295"/>
      <c r="O32" s="270"/>
      <c r="P32" s="5"/>
    </row>
    <row r="33" spans="1:17" ht="15.6" x14ac:dyDescent="0.3">
      <c r="A33" s="274"/>
      <c r="B33" s="263" t="s">
        <v>9</v>
      </c>
      <c r="C33" s="263"/>
      <c r="D33" s="276" t="s">
        <v>193</v>
      </c>
      <c r="E33" s="276"/>
      <c r="F33" s="276" t="s">
        <v>195</v>
      </c>
      <c r="G33" s="276"/>
      <c r="H33" s="276" t="s">
        <v>197</v>
      </c>
      <c r="I33" s="276"/>
      <c r="J33" s="276"/>
      <c r="K33" s="297"/>
      <c r="L33" s="298"/>
      <c r="M33" s="268"/>
      <c r="N33" s="268"/>
      <c r="O33" s="266"/>
      <c r="P33" s="5"/>
    </row>
    <row r="34" spans="1:17" ht="15.6" x14ac:dyDescent="0.3">
      <c r="A34" s="274"/>
      <c r="B34" s="263" t="s">
        <v>10</v>
      </c>
      <c r="C34" s="263"/>
      <c r="D34" s="298">
        <v>5.2868999999999998E-3</v>
      </c>
      <c r="E34" s="297"/>
      <c r="F34" s="298">
        <v>6.4869000000000003E-3</v>
      </c>
      <c r="G34" s="297"/>
      <c r="H34" s="298">
        <v>8.4869000000000003E-3</v>
      </c>
      <c r="I34" s="297"/>
      <c r="J34" s="298"/>
      <c r="K34" s="297"/>
      <c r="L34" s="298"/>
      <c r="M34" s="268"/>
      <c r="N34" s="297">
        <f>SUMPRODUCT(D34:H34,D29:H29)/N29</f>
        <v>5.700172657516117E-3</v>
      </c>
      <c r="O34" s="266"/>
      <c r="P34" s="5"/>
    </row>
    <row r="35" spans="1:17" ht="15.6" x14ac:dyDescent="0.3">
      <c r="A35" s="274"/>
      <c r="B35" s="263" t="s">
        <v>11</v>
      </c>
      <c r="C35" s="263"/>
      <c r="D35" s="298">
        <v>5.8387999999999999E-3</v>
      </c>
      <c r="E35" s="297"/>
      <c r="F35" s="298">
        <v>7.0387999999999996E-3</v>
      </c>
      <c r="G35" s="297"/>
      <c r="H35" s="298">
        <v>9.0387999999999996E-3</v>
      </c>
      <c r="I35" s="298"/>
      <c r="J35" s="298"/>
      <c r="K35" s="297"/>
      <c r="L35" s="298"/>
      <c r="M35" s="268"/>
      <c r="N35" s="297" t="s">
        <v>165</v>
      </c>
      <c r="O35" s="266"/>
      <c r="P35" s="5"/>
    </row>
    <row r="36" spans="1:17" ht="15.6" x14ac:dyDescent="0.3">
      <c r="A36" s="274"/>
      <c r="B36" s="263" t="s">
        <v>12</v>
      </c>
      <c r="C36" s="263"/>
      <c r="D36" s="299">
        <v>40617</v>
      </c>
      <c r="E36" s="299"/>
      <c r="F36" s="299">
        <v>40617</v>
      </c>
      <c r="G36" s="299"/>
      <c r="H36" s="299">
        <v>40617</v>
      </c>
      <c r="I36" s="299"/>
      <c r="J36" s="299"/>
      <c r="K36" s="276"/>
      <c r="L36" s="276"/>
      <c r="M36" s="268"/>
      <c r="N36" s="268"/>
      <c r="O36" s="266"/>
      <c r="P36" s="5"/>
    </row>
    <row r="37" spans="1:17" ht="15.6" x14ac:dyDescent="0.3">
      <c r="A37" s="274"/>
      <c r="B37" s="263" t="s">
        <v>13</v>
      </c>
      <c r="C37" s="263"/>
      <c r="D37" s="299">
        <v>40983</v>
      </c>
      <c r="E37" s="276"/>
      <c r="F37" s="299">
        <v>40983</v>
      </c>
      <c r="G37" s="276"/>
      <c r="H37" s="299">
        <v>40983</v>
      </c>
      <c r="I37" s="276"/>
      <c r="J37" s="299"/>
      <c r="K37" s="276"/>
      <c r="L37" s="276"/>
      <c r="M37" s="268"/>
      <c r="N37" s="268"/>
      <c r="O37" s="266"/>
      <c r="P37" s="5"/>
    </row>
    <row r="38" spans="1:17" ht="15.6" x14ac:dyDescent="0.3">
      <c r="A38" s="274"/>
      <c r="B38" s="263" t="s">
        <v>118</v>
      </c>
      <c r="C38" s="263"/>
      <c r="D38" s="276" t="s">
        <v>193</v>
      </c>
      <c r="E38" s="276"/>
      <c r="F38" s="276" t="s">
        <v>195</v>
      </c>
      <c r="G38" s="276"/>
      <c r="H38" s="276" t="s">
        <v>197</v>
      </c>
      <c r="I38" s="276"/>
      <c r="J38" s="276"/>
      <c r="K38" s="300"/>
      <c r="L38" s="300"/>
      <c r="M38" s="300"/>
      <c r="N38" s="300"/>
      <c r="O38" s="266"/>
      <c r="P38" s="5"/>
    </row>
    <row r="39" spans="1:17" ht="15.6" x14ac:dyDescent="0.3">
      <c r="A39" s="274"/>
      <c r="B39" s="263"/>
      <c r="C39" s="263"/>
      <c r="D39" s="276"/>
      <c r="E39" s="276"/>
      <c r="F39" s="298"/>
      <c r="G39" s="276"/>
      <c r="H39" s="298"/>
      <c r="I39" s="276"/>
      <c r="J39" s="276"/>
      <c r="K39" s="263"/>
      <c r="L39" s="263"/>
      <c r="M39" s="263"/>
      <c r="N39" s="297" t="s">
        <v>165</v>
      </c>
      <c r="O39" s="266"/>
      <c r="P39" s="5"/>
    </row>
    <row r="40" spans="1:17" ht="15.6" x14ac:dyDescent="0.3">
      <c r="A40" s="274"/>
      <c r="B40" s="263" t="s">
        <v>156</v>
      </c>
      <c r="C40" s="263"/>
      <c r="D40" s="276"/>
      <c r="E40" s="276"/>
      <c r="F40" s="276"/>
      <c r="G40" s="276"/>
      <c r="H40" s="276"/>
      <c r="I40" s="276"/>
      <c r="J40" s="276"/>
      <c r="K40" s="263"/>
      <c r="L40" s="263"/>
      <c r="M40" s="263"/>
      <c r="N40" s="297">
        <f>SUM(F28:H28)/SUM(D28)</f>
        <v>3.109404990403071E-2</v>
      </c>
      <c r="O40" s="266"/>
      <c r="P40" s="5"/>
    </row>
    <row r="41" spans="1:17" ht="15.6" x14ac:dyDescent="0.3">
      <c r="A41" s="274"/>
      <c r="B41" s="263" t="s">
        <v>157</v>
      </c>
      <c r="C41" s="263"/>
      <c r="D41" s="263"/>
      <c r="E41" s="263"/>
      <c r="F41" s="263"/>
      <c r="G41" s="263"/>
      <c r="H41" s="263"/>
      <c r="I41" s="263"/>
      <c r="J41" s="263"/>
      <c r="K41" s="263"/>
      <c r="L41" s="263"/>
      <c r="M41" s="263"/>
      <c r="N41" s="297">
        <f>SUM(F30:H30)/SUM(D30)</f>
        <v>0.25054729525989095</v>
      </c>
      <c r="O41" s="266"/>
      <c r="P41" s="5"/>
    </row>
    <row r="42" spans="1:17" ht="15.6" x14ac:dyDescent="0.3">
      <c r="A42" s="274"/>
      <c r="B42" s="263" t="s">
        <v>158</v>
      </c>
      <c r="C42" s="263"/>
      <c r="D42" s="263"/>
      <c r="E42" s="263"/>
      <c r="F42" s="263"/>
      <c r="G42" s="263"/>
      <c r="H42" s="263"/>
      <c r="I42" s="263"/>
      <c r="J42" s="263"/>
      <c r="K42" s="263"/>
      <c r="L42" s="276" t="s">
        <v>103</v>
      </c>
      <c r="M42" s="276" t="s">
        <v>109</v>
      </c>
      <c r="N42" s="279">
        <f>+N28/2-SUM(F28:H28)</f>
        <v>126200</v>
      </c>
      <c r="O42" s="266"/>
      <c r="P42" s="5"/>
    </row>
    <row r="43" spans="1:17" ht="15.6" x14ac:dyDescent="0.3">
      <c r="A43" s="274"/>
      <c r="B43" s="263"/>
      <c r="C43" s="263"/>
      <c r="D43" s="263"/>
      <c r="E43" s="263"/>
      <c r="F43" s="263"/>
      <c r="G43" s="263"/>
      <c r="H43" s="263"/>
      <c r="I43" s="263"/>
      <c r="J43" s="263"/>
      <c r="K43" s="263"/>
      <c r="L43" s="263"/>
      <c r="M43" s="263"/>
      <c r="N43" s="301"/>
      <c r="O43" s="266"/>
      <c r="P43" s="5"/>
    </row>
    <row r="44" spans="1:17" ht="15.6" x14ac:dyDescent="0.3">
      <c r="A44" s="274"/>
      <c r="B44" s="263" t="s">
        <v>198</v>
      </c>
      <c r="C44" s="263"/>
      <c r="D44" s="263"/>
      <c r="E44" s="263"/>
      <c r="F44" s="263"/>
      <c r="G44" s="263"/>
      <c r="H44" s="263"/>
      <c r="I44" s="263"/>
      <c r="J44" s="263"/>
      <c r="K44" s="263"/>
      <c r="L44" s="276"/>
      <c r="M44" s="276"/>
      <c r="N44" s="302" t="s">
        <v>111</v>
      </c>
      <c r="O44" s="266"/>
      <c r="P44" s="5"/>
    </row>
    <row r="45" spans="1:17" ht="15.6" x14ac:dyDescent="0.3">
      <c r="A45" s="274"/>
      <c r="B45" s="275" t="s">
        <v>168</v>
      </c>
      <c r="C45" s="275"/>
      <c r="D45" s="275"/>
      <c r="E45" s="275"/>
      <c r="F45" s="275"/>
      <c r="G45" s="275"/>
      <c r="H45" s="275"/>
      <c r="I45" s="275"/>
      <c r="J45" s="275"/>
      <c r="K45" s="275"/>
      <c r="L45" s="303"/>
      <c r="M45" s="303"/>
      <c r="N45" s="304">
        <v>42993</v>
      </c>
      <c r="O45" s="266"/>
      <c r="P45" s="5"/>
    </row>
    <row r="46" spans="1:17" ht="15.6" x14ac:dyDescent="0.3">
      <c r="A46" s="274"/>
      <c r="B46" s="263" t="s">
        <v>119</v>
      </c>
      <c r="C46" s="263"/>
      <c r="D46" s="305"/>
      <c r="E46" s="305"/>
      <c r="F46" s="305"/>
      <c r="G46" s="305"/>
      <c r="H46" s="305"/>
      <c r="I46" s="305"/>
      <c r="J46" s="263">
        <f>+N46-L46+1</f>
        <v>92</v>
      </c>
      <c r="K46" s="305"/>
      <c r="L46" s="306">
        <v>42809</v>
      </c>
      <c r="M46" s="307"/>
      <c r="N46" s="306">
        <v>42900</v>
      </c>
      <c r="O46" s="266"/>
      <c r="P46" s="5"/>
    </row>
    <row r="47" spans="1:17" ht="15.6" x14ac:dyDescent="0.3">
      <c r="A47" s="274"/>
      <c r="B47" s="263" t="s">
        <v>120</v>
      </c>
      <c r="C47" s="263"/>
      <c r="D47" s="263"/>
      <c r="E47" s="263"/>
      <c r="F47" s="263"/>
      <c r="G47" s="263"/>
      <c r="H47" s="263"/>
      <c r="I47" s="263"/>
      <c r="J47" s="263">
        <f>+N47-L47+1</f>
        <v>92</v>
      </c>
      <c r="K47" s="263"/>
      <c r="L47" s="306">
        <v>42901</v>
      </c>
      <c r="M47" s="307"/>
      <c r="N47" s="306">
        <v>42992</v>
      </c>
      <c r="O47" s="266"/>
      <c r="P47" s="5"/>
    </row>
    <row r="48" spans="1:17" ht="15.6" x14ac:dyDescent="0.3">
      <c r="A48" s="274"/>
      <c r="B48" s="263" t="s">
        <v>199</v>
      </c>
      <c r="C48" s="263"/>
      <c r="D48" s="263"/>
      <c r="E48" s="263"/>
      <c r="F48" s="263"/>
      <c r="G48" s="263"/>
      <c r="H48" s="263"/>
      <c r="I48" s="263"/>
      <c r="J48" s="263"/>
      <c r="K48" s="263"/>
      <c r="L48" s="306"/>
      <c r="M48" s="307"/>
      <c r="N48" s="306" t="s">
        <v>143</v>
      </c>
      <c r="O48" s="266"/>
      <c r="P48" s="5"/>
      <c r="Q48" s="127"/>
    </row>
    <row r="49" spans="1:16" ht="15.6" x14ac:dyDescent="0.3">
      <c r="A49" s="274"/>
      <c r="B49" s="263" t="s">
        <v>14</v>
      </c>
      <c r="C49" s="263"/>
      <c r="D49" s="263"/>
      <c r="E49" s="263"/>
      <c r="F49" s="263"/>
      <c r="G49" s="263"/>
      <c r="H49" s="263"/>
      <c r="I49" s="263"/>
      <c r="J49" s="263"/>
      <c r="K49" s="263"/>
      <c r="L49" s="306"/>
      <c r="M49" s="307"/>
      <c r="N49" s="306">
        <v>42979</v>
      </c>
      <c r="O49" s="266"/>
      <c r="P49" s="5"/>
    </row>
    <row r="50" spans="1:16" ht="15.6" x14ac:dyDescent="0.3">
      <c r="A50" s="237"/>
      <c r="B50" s="248"/>
      <c r="C50" s="248"/>
      <c r="D50" s="248"/>
      <c r="E50" s="248"/>
      <c r="F50" s="248"/>
      <c r="G50" s="248"/>
      <c r="H50" s="248"/>
      <c r="I50" s="248"/>
      <c r="J50" s="248"/>
      <c r="K50" s="248"/>
      <c r="L50" s="258"/>
      <c r="M50" s="259"/>
      <c r="N50" s="258"/>
      <c r="O50" s="248"/>
      <c r="P50" s="5"/>
    </row>
    <row r="51" spans="1:16" ht="15.6" x14ac:dyDescent="0.3">
      <c r="A51" s="237"/>
      <c r="B51" s="238"/>
      <c r="C51" s="238"/>
      <c r="D51" s="238"/>
      <c r="E51" s="238"/>
      <c r="F51" s="238"/>
      <c r="G51" s="238"/>
      <c r="H51" s="238"/>
      <c r="I51" s="238"/>
      <c r="J51" s="238"/>
      <c r="K51" s="238"/>
      <c r="L51" s="239"/>
      <c r="M51" s="240"/>
      <c r="N51" s="239"/>
      <c r="O51" s="238"/>
      <c r="P51" s="5"/>
    </row>
    <row r="52" spans="1:16" ht="18" thickBot="1" x14ac:dyDescent="0.35">
      <c r="A52" s="241"/>
      <c r="B52" s="242" t="s">
        <v>292</v>
      </c>
      <c r="C52" s="243"/>
      <c r="D52" s="243"/>
      <c r="E52" s="243"/>
      <c r="F52" s="243"/>
      <c r="G52" s="243"/>
      <c r="H52" s="243"/>
      <c r="I52" s="243"/>
      <c r="J52" s="243"/>
      <c r="K52" s="243"/>
      <c r="L52" s="243"/>
      <c r="M52" s="243"/>
      <c r="N52" s="244"/>
      <c r="O52" s="245"/>
      <c r="P52" s="5"/>
    </row>
    <row r="53" spans="1:16" ht="15.6" x14ac:dyDescent="0.3">
      <c r="A53" s="360"/>
      <c r="B53" s="387" t="s">
        <v>15</v>
      </c>
      <c r="C53" s="361"/>
      <c r="D53" s="361"/>
      <c r="E53" s="361"/>
      <c r="F53" s="361"/>
      <c r="G53" s="361"/>
      <c r="H53" s="361"/>
      <c r="I53" s="361"/>
      <c r="J53" s="361"/>
      <c r="K53" s="361"/>
      <c r="L53" s="361"/>
      <c r="M53" s="361"/>
      <c r="N53" s="366"/>
      <c r="O53" s="361"/>
      <c r="P53" s="5"/>
    </row>
    <row r="54" spans="1:16" ht="15.6" x14ac:dyDescent="0.3">
      <c r="A54" s="188"/>
      <c r="B54" s="196"/>
      <c r="C54" s="190"/>
      <c r="D54" s="190"/>
      <c r="E54" s="190"/>
      <c r="F54" s="190"/>
      <c r="G54" s="190"/>
      <c r="H54" s="190"/>
      <c r="I54" s="190"/>
      <c r="J54" s="190"/>
      <c r="K54" s="190"/>
      <c r="L54" s="190"/>
      <c r="M54" s="190"/>
      <c r="N54" s="206"/>
      <c r="O54" s="190"/>
      <c r="P54" s="5"/>
    </row>
    <row r="55" spans="1:16" ht="46.8" x14ac:dyDescent="0.3">
      <c r="A55" s="188"/>
      <c r="B55" s="207" t="s">
        <v>16</v>
      </c>
      <c r="C55" s="208"/>
      <c r="D55" s="208" t="s">
        <v>91</v>
      </c>
      <c r="E55" s="208"/>
      <c r="F55" s="208" t="s">
        <v>93</v>
      </c>
      <c r="G55" s="208"/>
      <c r="H55" s="208" t="s">
        <v>95</v>
      </c>
      <c r="I55" s="208"/>
      <c r="J55" s="208" t="s">
        <v>97</v>
      </c>
      <c r="K55" s="208"/>
      <c r="L55" s="208" t="s">
        <v>104</v>
      </c>
      <c r="M55" s="208"/>
      <c r="N55" s="209" t="s">
        <v>112</v>
      </c>
      <c r="O55" s="210"/>
      <c r="P55" s="5"/>
    </row>
    <row r="56" spans="1:16" ht="15.6" x14ac:dyDescent="0.3">
      <c r="A56" s="262"/>
      <c r="B56" s="263" t="s">
        <v>17</v>
      </c>
      <c r="C56" s="264"/>
      <c r="D56" s="264">
        <v>268565</v>
      </c>
      <c r="E56" s="264"/>
      <c r="F56" s="265">
        <v>17003</v>
      </c>
      <c r="G56" s="264"/>
      <c r="H56" s="264">
        <v>1048</v>
      </c>
      <c r="I56" s="264"/>
      <c r="J56" s="264">
        <v>0</v>
      </c>
      <c r="K56" s="264"/>
      <c r="L56" s="264">
        <v>0</v>
      </c>
      <c r="M56" s="264"/>
      <c r="N56" s="265">
        <f>+F56-H56+J56-L56</f>
        <v>15955</v>
      </c>
      <c r="O56" s="266"/>
      <c r="P56" s="5"/>
    </row>
    <row r="57" spans="1:16" ht="15.6" x14ac:dyDescent="0.3">
      <c r="A57" s="262"/>
      <c r="B57" s="263" t="s">
        <v>209</v>
      </c>
      <c r="C57" s="264"/>
      <c r="D57" s="264">
        <v>756</v>
      </c>
      <c r="E57" s="264"/>
      <c r="F57" s="265">
        <v>73</v>
      </c>
      <c r="G57" s="264"/>
      <c r="H57" s="264">
        <v>1</v>
      </c>
      <c r="I57" s="264"/>
      <c r="J57" s="264">
        <v>0</v>
      </c>
      <c r="K57" s="264"/>
      <c r="L57" s="264">
        <v>0</v>
      </c>
      <c r="M57" s="264"/>
      <c r="N57" s="265">
        <f>+F57-H57</f>
        <v>72</v>
      </c>
      <c r="O57" s="266"/>
      <c r="P57" s="5"/>
    </row>
    <row r="58" spans="1:16" ht="15.6" x14ac:dyDescent="0.3">
      <c r="A58" s="262"/>
      <c r="B58" s="263"/>
      <c r="C58" s="264"/>
      <c r="D58" s="264"/>
      <c r="E58" s="264"/>
      <c r="F58" s="265"/>
      <c r="G58" s="264"/>
      <c r="H58" s="264"/>
      <c r="I58" s="264"/>
      <c r="J58" s="264"/>
      <c r="K58" s="264"/>
      <c r="L58" s="264"/>
      <c r="M58" s="264"/>
      <c r="N58" s="265"/>
      <c r="O58" s="266"/>
      <c r="P58" s="5"/>
    </row>
    <row r="59" spans="1:16" ht="15.6" x14ac:dyDescent="0.3">
      <c r="A59" s="262"/>
      <c r="B59" s="263" t="s">
        <v>19</v>
      </c>
      <c r="C59" s="264"/>
      <c r="D59" s="264">
        <f>SUM(D56:D58)</f>
        <v>269321</v>
      </c>
      <c r="E59" s="264"/>
      <c r="F59" s="264">
        <f>F56+F57</f>
        <v>17076</v>
      </c>
      <c r="G59" s="264"/>
      <c r="H59" s="264">
        <f>SUM(H56:H58)</f>
        <v>1049</v>
      </c>
      <c r="I59" s="264"/>
      <c r="J59" s="264">
        <f>SUM(J56:J58)</f>
        <v>0</v>
      </c>
      <c r="K59" s="264"/>
      <c r="L59" s="264">
        <f>SUM(L56:L58)</f>
        <v>0</v>
      </c>
      <c r="M59" s="264"/>
      <c r="N59" s="264">
        <f>SUM(N56:N58)</f>
        <v>16027</v>
      </c>
      <c r="O59" s="266"/>
      <c r="P59" s="5"/>
    </row>
    <row r="60" spans="1:16" ht="15.6" x14ac:dyDescent="0.3">
      <c r="A60" s="188"/>
      <c r="B60" s="216"/>
      <c r="C60" s="260"/>
      <c r="D60" s="260"/>
      <c r="E60" s="260"/>
      <c r="F60" s="260"/>
      <c r="G60" s="260"/>
      <c r="H60" s="260"/>
      <c r="I60" s="260"/>
      <c r="J60" s="260"/>
      <c r="K60" s="260"/>
      <c r="L60" s="260"/>
      <c r="M60" s="260"/>
      <c r="N60" s="261"/>
      <c r="O60" s="216"/>
      <c r="P60" s="5"/>
    </row>
    <row r="61" spans="1:16" ht="15.6" x14ac:dyDescent="0.3">
      <c r="A61" s="188"/>
      <c r="B61" s="192" t="s">
        <v>20</v>
      </c>
      <c r="C61" s="211"/>
      <c r="D61" s="211"/>
      <c r="E61" s="211"/>
      <c r="F61" s="211"/>
      <c r="G61" s="211"/>
      <c r="H61" s="211"/>
      <c r="I61" s="211"/>
      <c r="J61" s="211"/>
      <c r="K61" s="211"/>
      <c r="L61" s="211"/>
      <c r="M61" s="211"/>
      <c r="N61" s="212"/>
      <c r="O61" s="190"/>
      <c r="P61" s="5"/>
    </row>
    <row r="62" spans="1:16" ht="15.6" x14ac:dyDescent="0.3">
      <c r="A62" s="188"/>
      <c r="B62" s="190"/>
      <c r="C62" s="211"/>
      <c r="D62" s="211"/>
      <c r="E62" s="211"/>
      <c r="F62" s="211"/>
      <c r="G62" s="211"/>
      <c r="H62" s="211"/>
      <c r="I62" s="211"/>
      <c r="J62" s="211"/>
      <c r="K62" s="211"/>
      <c r="L62" s="211"/>
      <c r="M62" s="211"/>
      <c r="N62" s="212"/>
      <c r="O62" s="190"/>
      <c r="P62" s="5"/>
    </row>
    <row r="63" spans="1:16" ht="15.6" x14ac:dyDescent="0.3">
      <c r="A63" s="262"/>
      <c r="B63" s="263" t="s">
        <v>17</v>
      </c>
      <c r="C63" s="264"/>
      <c r="D63" s="264"/>
      <c r="E63" s="264"/>
      <c r="F63" s="264"/>
      <c r="G63" s="264"/>
      <c r="H63" s="264"/>
      <c r="I63" s="264"/>
      <c r="J63" s="264"/>
      <c r="K63" s="264"/>
      <c r="L63" s="264"/>
      <c r="M63" s="264"/>
      <c r="N63" s="264"/>
      <c r="O63" s="266"/>
      <c r="P63" s="5"/>
    </row>
    <row r="64" spans="1:16" ht="15.6" x14ac:dyDescent="0.3">
      <c r="A64" s="262"/>
      <c r="B64" s="263" t="s">
        <v>18</v>
      </c>
      <c r="C64" s="264"/>
      <c r="D64" s="264"/>
      <c r="E64" s="264"/>
      <c r="F64" s="264"/>
      <c r="G64" s="264"/>
      <c r="H64" s="264"/>
      <c r="I64" s="264"/>
      <c r="J64" s="264"/>
      <c r="K64" s="264"/>
      <c r="L64" s="264"/>
      <c r="M64" s="264"/>
      <c r="N64" s="264"/>
      <c r="O64" s="266"/>
      <c r="P64" s="5"/>
    </row>
    <row r="65" spans="1:16" ht="15.6" x14ac:dyDescent="0.3">
      <c r="A65" s="262"/>
      <c r="B65" s="263"/>
      <c r="C65" s="264"/>
      <c r="D65" s="264"/>
      <c r="E65" s="264"/>
      <c r="F65" s="264"/>
      <c r="G65" s="264"/>
      <c r="H65" s="264"/>
      <c r="I65" s="264"/>
      <c r="J65" s="264"/>
      <c r="K65" s="264"/>
      <c r="L65" s="264"/>
      <c r="M65" s="264"/>
      <c r="N65" s="264"/>
      <c r="O65" s="266"/>
      <c r="P65" s="5"/>
    </row>
    <row r="66" spans="1:16" ht="15.6" x14ac:dyDescent="0.3">
      <c r="A66" s="262"/>
      <c r="B66" s="263" t="s">
        <v>19</v>
      </c>
      <c r="C66" s="264"/>
      <c r="D66" s="264"/>
      <c r="E66" s="264"/>
      <c r="F66" s="264"/>
      <c r="G66" s="264"/>
      <c r="H66" s="264"/>
      <c r="I66" s="264"/>
      <c r="J66" s="264"/>
      <c r="K66" s="264"/>
      <c r="L66" s="264"/>
      <c r="M66" s="264"/>
      <c r="N66" s="264"/>
      <c r="O66" s="266"/>
      <c r="P66" s="5"/>
    </row>
    <row r="67" spans="1:16" ht="15.6" x14ac:dyDescent="0.3">
      <c r="A67" s="262"/>
      <c r="B67" s="263"/>
      <c r="C67" s="264"/>
      <c r="D67" s="264"/>
      <c r="E67" s="264"/>
      <c r="F67" s="264"/>
      <c r="G67" s="264"/>
      <c r="H67" s="264"/>
      <c r="I67" s="264"/>
      <c r="J67" s="264"/>
      <c r="K67" s="264"/>
      <c r="L67" s="264"/>
      <c r="M67" s="264"/>
      <c r="N67" s="264"/>
      <c r="O67" s="266"/>
      <c r="P67" s="5"/>
    </row>
    <row r="68" spans="1:16" ht="15.6" x14ac:dyDescent="0.3">
      <c r="A68" s="262"/>
      <c r="B68" s="263" t="s">
        <v>209</v>
      </c>
      <c r="C68" s="264"/>
      <c r="D68" s="264">
        <v>-756</v>
      </c>
      <c r="E68" s="264"/>
      <c r="F68" s="264">
        <v>-73</v>
      </c>
      <c r="G68" s="264"/>
      <c r="H68" s="264"/>
      <c r="I68" s="264"/>
      <c r="J68" s="264"/>
      <c r="K68" s="264"/>
      <c r="L68" s="264"/>
      <c r="M68" s="264"/>
      <c r="N68" s="265">
        <f>-N57</f>
        <v>-72</v>
      </c>
      <c r="O68" s="266"/>
      <c r="P68" s="5"/>
    </row>
    <row r="69" spans="1:16" ht="15.6" x14ac:dyDescent="0.3">
      <c r="A69" s="262"/>
      <c r="B69" s="263" t="s">
        <v>21</v>
      </c>
      <c r="C69" s="264"/>
      <c r="D69" s="264">
        <v>0</v>
      </c>
      <c r="E69" s="264"/>
      <c r="F69" s="264">
        <v>0</v>
      </c>
      <c r="G69" s="264"/>
      <c r="H69" s="264"/>
      <c r="I69" s="264"/>
      <c r="J69" s="264"/>
      <c r="K69" s="264"/>
      <c r="L69" s="264"/>
      <c r="M69" s="264"/>
      <c r="N69" s="264">
        <f>SUM(D69:J69)</f>
        <v>0</v>
      </c>
      <c r="O69" s="266"/>
      <c r="P69" s="5"/>
    </row>
    <row r="70" spans="1:16" ht="15.6" x14ac:dyDescent="0.3">
      <c r="A70" s="262"/>
      <c r="B70" s="263" t="s">
        <v>210</v>
      </c>
      <c r="C70" s="264"/>
      <c r="D70" s="264">
        <v>35</v>
      </c>
      <c r="E70" s="264"/>
      <c r="F70" s="264">
        <v>0</v>
      </c>
      <c r="G70" s="264"/>
      <c r="H70" s="264">
        <v>0</v>
      </c>
      <c r="I70" s="264"/>
      <c r="J70" s="264"/>
      <c r="K70" s="264"/>
      <c r="L70" s="264"/>
      <c r="M70" s="264"/>
      <c r="N70" s="264">
        <f>+F70+H70</f>
        <v>0</v>
      </c>
      <c r="O70" s="266"/>
      <c r="P70" s="5"/>
    </row>
    <row r="71" spans="1:16" ht="15.6" x14ac:dyDescent="0.3">
      <c r="A71" s="262"/>
      <c r="B71" s="263" t="s">
        <v>23</v>
      </c>
      <c r="C71" s="264"/>
      <c r="D71" s="264">
        <v>0</v>
      </c>
      <c r="E71" s="264"/>
      <c r="F71" s="264">
        <v>0</v>
      </c>
      <c r="G71" s="264"/>
      <c r="H71" s="264"/>
      <c r="I71" s="264"/>
      <c r="J71" s="264"/>
      <c r="K71" s="264"/>
      <c r="L71" s="264"/>
      <c r="M71" s="264"/>
      <c r="N71" s="264">
        <v>0</v>
      </c>
      <c r="O71" s="266"/>
      <c r="P71" s="5"/>
    </row>
    <row r="72" spans="1:16" ht="15.6" x14ac:dyDescent="0.3">
      <c r="A72" s="262"/>
      <c r="B72" s="263" t="s">
        <v>24</v>
      </c>
      <c r="C72" s="264"/>
      <c r="D72" s="264">
        <f>SUM(D59:D71)</f>
        <v>268600</v>
      </c>
      <c r="E72" s="264"/>
      <c r="F72" s="264">
        <f>SUM(F59:F71)</f>
        <v>17003</v>
      </c>
      <c r="G72" s="264"/>
      <c r="H72" s="264"/>
      <c r="I72" s="264"/>
      <c r="J72" s="264"/>
      <c r="K72" s="264"/>
      <c r="L72" s="264"/>
      <c r="M72" s="264"/>
      <c r="N72" s="264">
        <f>SUM(N59:N71)</f>
        <v>15955</v>
      </c>
      <c r="O72" s="266"/>
      <c r="P72" s="5"/>
    </row>
    <row r="73" spans="1:16" ht="15.6" x14ac:dyDescent="0.3">
      <c r="A73" s="188"/>
      <c r="B73" s="248"/>
      <c r="C73" s="308"/>
      <c r="D73" s="308"/>
      <c r="E73" s="308"/>
      <c r="F73" s="308"/>
      <c r="G73" s="308"/>
      <c r="H73" s="308"/>
      <c r="I73" s="308"/>
      <c r="J73" s="308"/>
      <c r="K73" s="308"/>
      <c r="L73" s="308"/>
      <c r="M73" s="308"/>
      <c r="N73" s="308"/>
      <c r="O73" s="248"/>
      <c r="P73" s="5"/>
    </row>
    <row r="74" spans="1:16" ht="15.6" x14ac:dyDescent="0.3">
      <c r="A74" s="188"/>
      <c r="B74" s="238"/>
      <c r="C74" s="238"/>
      <c r="D74" s="238"/>
      <c r="E74" s="238"/>
      <c r="F74" s="238"/>
      <c r="G74" s="238"/>
      <c r="H74" s="238"/>
      <c r="I74" s="238"/>
      <c r="J74" s="238"/>
      <c r="K74" s="238"/>
      <c r="L74" s="238"/>
      <c r="M74" s="238"/>
      <c r="N74" s="238"/>
      <c r="O74" s="238"/>
      <c r="P74" s="5"/>
    </row>
    <row r="75" spans="1:16" ht="15.6" x14ac:dyDescent="0.3">
      <c r="A75" s="360"/>
      <c r="B75" s="387" t="s">
        <v>25</v>
      </c>
      <c r="C75" s="387"/>
      <c r="D75" s="388" t="s">
        <v>92</v>
      </c>
      <c r="E75" s="389"/>
      <c r="F75" s="390">
        <f>+L183</f>
        <v>42978</v>
      </c>
      <c r="G75" s="389"/>
      <c r="H75" s="389"/>
      <c r="I75" s="389"/>
      <c r="J75" s="389"/>
      <c r="K75" s="389"/>
      <c r="L75" s="389" t="s">
        <v>105</v>
      </c>
      <c r="M75" s="389"/>
      <c r="N75" s="389" t="s">
        <v>113</v>
      </c>
      <c r="O75" s="361"/>
      <c r="P75" s="5"/>
    </row>
    <row r="76" spans="1:16" ht="15.6" x14ac:dyDescent="0.3">
      <c r="A76" s="262"/>
      <c r="B76" s="263" t="s">
        <v>26</v>
      </c>
      <c r="C76" s="263"/>
      <c r="D76" s="263"/>
      <c r="E76" s="263"/>
      <c r="F76" s="263"/>
      <c r="G76" s="263"/>
      <c r="H76" s="263"/>
      <c r="I76" s="263"/>
      <c r="J76" s="263"/>
      <c r="K76" s="263"/>
      <c r="L76" s="264">
        <v>0</v>
      </c>
      <c r="M76" s="263"/>
      <c r="N76" s="265">
        <v>0</v>
      </c>
      <c r="O76" s="266"/>
      <c r="P76" s="5"/>
    </row>
    <row r="77" spans="1:16" ht="15.6" x14ac:dyDescent="0.3">
      <c r="A77" s="262"/>
      <c r="B77" s="263" t="s">
        <v>27</v>
      </c>
      <c r="C77" s="263"/>
      <c r="D77" s="300"/>
      <c r="E77" s="263"/>
      <c r="F77" s="309"/>
      <c r="G77" s="263"/>
      <c r="H77" s="263"/>
      <c r="I77" s="263"/>
      <c r="J77" s="263"/>
      <c r="K77" s="263"/>
      <c r="L77" s="264">
        <f>1048+1</f>
        <v>1049</v>
      </c>
      <c r="M77" s="263"/>
      <c r="N77" s="265"/>
      <c r="O77" s="266"/>
      <c r="P77" s="5"/>
    </row>
    <row r="78" spans="1:16" ht="15.6" x14ac:dyDescent="0.3">
      <c r="A78" s="262"/>
      <c r="B78" s="263" t="s">
        <v>176</v>
      </c>
      <c r="C78" s="263"/>
      <c r="D78" s="300"/>
      <c r="E78" s="263"/>
      <c r="F78" s="309"/>
      <c r="G78" s="263"/>
      <c r="H78" s="263"/>
      <c r="I78" s="263"/>
      <c r="J78" s="263"/>
      <c r="K78" s="263"/>
      <c r="L78" s="264"/>
      <c r="M78" s="263"/>
      <c r="N78" s="265">
        <f>540+104+66-367-64-90</f>
        <v>189</v>
      </c>
      <c r="O78" s="266"/>
      <c r="P78" s="5"/>
    </row>
    <row r="79" spans="1:16" ht="15.6" x14ac:dyDescent="0.3">
      <c r="A79" s="262"/>
      <c r="B79" s="263" t="s">
        <v>174</v>
      </c>
      <c r="C79" s="263"/>
      <c r="D79" s="300"/>
      <c r="E79" s="263"/>
      <c r="F79" s="309"/>
      <c r="G79" s="263"/>
      <c r="H79" s="263"/>
      <c r="I79" s="263"/>
      <c r="J79" s="263"/>
      <c r="K79" s="263"/>
      <c r="L79" s="264"/>
      <c r="M79" s="263"/>
      <c r="N79" s="265">
        <v>9</v>
      </c>
      <c r="O79" s="266"/>
      <c r="P79" s="5"/>
    </row>
    <row r="80" spans="1:16" ht="15.6" x14ac:dyDescent="0.3">
      <c r="A80" s="262"/>
      <c r="B80" s="263" t="s">
        <v>175</v>
      </c>
      <c r="C80" s="263"/>
      <c r="D80" s="300"/>
      <c r="E80" s="263"/>
      <c r="F80" s="309"/>
      <c r="G80" s="263"/>
      <c r="H80" s="263"/>
      <c r="I80" s="263"/>
      <c r="J80" s="263"/>
      <c r="K80" s="263"/>
      <c r="L80" s="264"/>
      <c r="M80" s="263"/>
      <c r="N80" s="265">
        <v>0</v>
      </c>
      <c r="O80" s="266"/>
      <c r="P80" s="5"/>
    </row>
    <row r="81" spans="1:17" ht="15.6" x14ac:dyDescent="0.3">
      <c r="A81" s="262"/>
      <c r="B81" s="263" t="s">
        <v>131</v>
      </c>
      <c r="C81" s="263"/>
      <c r="D81" s="263"/>
      <c r="E81" s="263"/>
      <c r="F81" s="263"/>
      <c r="G81" s="263"/>
      <c r="H81" s="263"/>
      <c r="I81" s="263"/>
      <c r="J81" s="263"/>
      <c r="K81" s="263"/>
      <c r="L81" s="264"/>
      <c r="M81" s="263"/>
      <c r="N81" s="265">
        <v>0</v>
      </c>
      <c r="O81" s="266"/>
      <c r="P81" s="5"/>
    </row>
    <row r="82" spans="1:17" ht="15.6" x14ac:dyDescent="0.3">
      <c r="A82" s="262"/>
      <c r="B82" s="263" t="s">
        <v>211</v>
      </c>
      <c r="C82" s="263"/>
      <c r="D82" s="263"/>
      <c r="E82" s="263"/>
      <c r="F82" s="263"/>
      <c r="G82" s="263"/>
      <c r="H82" s="263"/>
      <c r="I82" s="263"/>
      <c r="J82" s="263"/>
      <c r="K82" s="263"/>
      <c r="L82" s="264"/>
      <c r="M82" s="263"/>
      <c r="N82" s="265">
        <v>0</v>
      </c>
      <c r="O82" s="266"/>
      <c r="P82" s="5"/>
    </row>
    <row r="83" spans="1:17" ht="15.6" x14ac:dyDescent="0.3">
      <c r="A83" s="262"/>
      <c r="B83" s="263" t="s">
        <v>28</v>
      </c>
      <c r="C83" s="263"/>
      <c r="D83" s="263"/>
      <c r="E83" s="263"/>
      <c r="F83" s="263"/>
      <c r="G83" s="263"/>
      <c r="H83" s="263"/>
      <c r="I83" s="263"/>
      <c r="J83" s="263"/>
      <c r="K83" s="263"/>
      <c r="L83" s="264">
        <f>SUM(L76:L82)</f>
        <v>1049</v>
      </c>
      <c r="M83" s="263"/>
      <c r="N83" s="264">
        <f>SUM(N76:N82)</f>
        <v>198</v>
      </c>
      <c r="O83" s="266"/>
      <c r="P83" s="5"/>
    </row>
    <row r="84" spans="1:17" ht="15.6" x14ac:dyDescent="0.3">
      <c r="A84" s="262"/>
      <c r="B84" s="263" t="s">
        <v>148</v>
      </c>
      <c r="C84" s="263"/>
      <c r="D84" s="263"/>
      <c r="E84" s="263"/>
      <c r="F84" s="263"/>
      <c r="G84" s="263"/>
      <c r="H84" s="263"/>
      <c r="I84" s="263"/>
      <c r="J84" s="263"/>
      <c r="K84" s="263"/>
      <c r="L84" s="264">
        <v>0</v>
      </c>
      <c r="M84" s="263"/>
      <c r="N84" s="264">
        <f>-L84</f>
        <v>0</v>
      </c>
      <c r="O84" s="266"/>
      <c r="P84" s="5"/>
    </row>
    <row r="85" spans="1:17" ht="15.6" x14ac:dyDescent="0.3">
      <c r="A85" s="262"/>
      <c r="B85" s="263" t="s">
        <v>29</v>
      </c>
      <c r="C85" s="263"/>
      <c r="D85" s="263"/>
      <c r="E85" s="263"/>
      <c r="F85" s="263"/>
      <c r="G85" s="263"/>
      <c r="H85" s="263"/>
      <c r="I85" s="263"/>
      <c r="J85" s="263"/>
      <c r="K85" s="263"/>
      <c r="L85" s="264">
        <f>-N85</f>
        <v>0</v>
      </c>
      <c r="M85" s="263"/>
      <c r="N85" s="265">
        <v>0</v>
      </c>
      <c r="O85" s="266"/>
      <c r="P85" s="5"/>
    </row>
    <row r="86" spans="1:17" ht="15.6" x14ac:dyDescent="0.3">
      <c r="A86" s="262"/>
      <c r="B86" s="263" t="s">
        <v>244</v>
      </c>
      <c r="C86" s="263"/>
      <c r="D86" s="263"/>
      <c r="E86" s="263"/>
      <c r="F86" s="263"/>
      <c r="G86" s="263"/>
      <c r="H86" s="263"/>
      <c r="I86" s="263"/>
      <c r="J86" s="263"/>
      <c r="K86" s="263"/>
      <c r="L86" s="264"/>
      <c r="M86" s="263"/>
      <c r="N86" s="265">
        <v>0</v>
      </c>
      <c r="O86" s="266"/>
      <c r="P86" s="5"/>
    </row>
    <row r="87" spans="1:17" ht="15.6" x14ac:dyDescent="0.3">
      <c r="A87" s="262"/>
      <c r="B87" s="263" t="s">
        <v>30</v>
      </c>
      <c r="C87" s="263"/>
      <c r="D87" s="263"/>
      <c r="E87" s="263"/>
      <c r="F87" s="263"/>
      <c r="G87" s="263"/>
      <c r="H87" s="263"/>
      <c r="I87" s="263"/>
      <c r="J87" s="263"/>
      <c r="K87" s="263"/>
      <c r="L87" s="264">
        <f>L83+L85+L84</f>
        <v>1049</v>
      </c>
      <c r="M87" s="263"/>
      <c r="N87" s="264">
        <f>N83+N85+N84+N86</f>
        <v>198</v>
      </c>
      <c r="O87" s="266"/>
      <c r="P87" s="5"/>
    </row>
    <row r="88" spans="1:17" ht="15.6" x14ac:dyDescent="0.3">
      <c r="A88" s="262"/>
      <c r="B88" s="310" t="s">
        <v>31</v>
      </c>
      <c r="C88" s="291"/>
      <c r="D88" s="291"/>
      <c r="E88" s="291"/>
      <c r="F88" s="291"/>
      <c r="G88" s="291"/>
      <c r="H88" s="291"/>
      <c r="I88" s="291"/>
      <c r="J88" s="291"/>
      <c r="K88" s="291"/>
      <c r="L88" s="311"/>
      <c r="M88" s="291"/>
      <c r="N88" s="312"/>
      <c r="O88" s="270"/>
      <c r="P88" s="5"/>
    </row>
    <row r="89" spans="1:17" ht="15.6" x14ac:dyDescent="0.3">
      <c r="A89" s="274">
        <v>1</v>
      </c>
      <c r="B89" s="263" t="s">
        <v>32</v>
      </c>
      <c r="C89" s="263"/>
      <c r="D89" s="263"/>
      <c r="E89" s="263"/>
      <c r="F89" s="263"/>
      <c r="G89" s="263"/>
      <c r="H89" s="263"/>
      <c r="I89" s="263"/>
      <c r="J89" s="263"/>
      <c r="K89" s="263"/>
      <c r="L89" s="263"/>
      <c r="M89" s="263"/>
      <c r="N89" s="265">
        <v>0</v>
      </c>
      <c r="O89" s="266"/>
      <c r="P89" s="5"/>
    </row>
    <row r="90" spans="1:17" ht="15.6" x14ac:dyDescent="0.3">
      <c r="A90" s="274">
        <f>+A89+1</f>
        <v>2</v>
      </c>
      <c r="B90" s="263" t="s">
        <v>224</v>
      </c>
      <c r="C90" s="263"/>
      <c r="D90" s="263"/>
      <c r="E90" s="263"/>
      <c r="F90" s="263"/>
      <c r="G90" s="263"/>
      <c r="H90" s="263"/>
      <c r="I90" s="263"/>
      <c r="J90" s="263"/>
      <c r="K90" s="263"/>
      <c r="L90" s="263"/>
      <c r="M90" s="263"/>
      <c r="N90" s="265">
        <v>-2</v>
      </c>
      <c r="O90" s="266"/>
      <c r="P90" s="5"/>
    </row>
    <row r="91" spans="1:17" ht="15.6" x14ac:dyDescent="0.3">
      <c r="A91" s="274">
        <f>+A90+1</f>
        <v>3</v>
      </c>
      <c r="B91" s="263" t="s">
        <v>235</v>
      </c>
      <c r="C91" s="263"/>
      <c r="D91" s="263"/>
      <c r="E91" s="263"/>
      <c r="F91" s="263"/>
      <c r="G91" s="263"/>
      <c r="H91" s="263"/>
      <c r="I91" s="263"/>
      <c r="J91" s="263"/>
      <c r="K91" s="263"/>
      <c r="L91" s="263"/>
      <c r="M91" s="263"/>
      <c r="N91" s="265">
        <f>-7-1-28</f>
        <v>-36</v>
      </c>
      <c r="O91" s="266"/>
      <c r="P91" s="5"/>
    </row>
    <row r="92" spans="1:17" ht="15.6" x14ac:dyDescent="0.3">
      <c r="A92" s="274" t="s">
        <v>123</v>
      </c>
      <c r="B92" s="263" t="s">
        <v>116</v>
      </c>
      <c r="C92" s="263"/>
      <c r="D92" s="263"/>
      <c r="E92" s="263"/>
      <c r="F92" s="263"/>
      <c r="G92" s="263"/>
      <c r="H92" s="263"/>
      <c r="I92" s="263"/>
      <c r="J92" s="263"/>
      <c r="K92" s="263"/>
      <c r="L92" s="263"/>
      <c r="M92" s="263"/>
      <c r="N92" s="265">
        <v>0</v>
      </c>
      <c r="O92" s="266"/>
      <c r="P92" s="5"/>
    </row>
    <row r="93" spans="1:17" ht="15.6" x14ac:dyDescent="0.3">
      <c r="A93" s="274" t="s">
        <v>124</v>
      </c>
      <c r="B93" s="263" t="s">
        <v>214</v>
      </c>
      <c r="C93" s="263"/>
      <c r="D93" s="263"/>
      <c r="E93" s="263"/>
      <c r="F93" s="263"/>
      <c r="G93" s="263"/>
      <c r="H93" s="263"/>
      <c r="I93" s="263"/>
      <c r="J93" s="263"/>
      <c r="K93" s="263"/>
      <c r="L93" s="263"/>
      <c r="M93" s="263"/>
      <c r="N93" s="265">
        <v>-18</v>
      </c>
      <c r="O93" s="266"/>
      <c r="P93" s="5"/>
    </row>
    <row r="94" spans="1:17" ht="15.6" x14ac:dyDescent="0.3">
      <c r="A94" s="274" t="s">
        <v>140</v>
      </c>
      <c r="B94" s="263" t="s">
        <v>180</v>
      </c>
      <c r="C94" s="263"/>
      <c r="D94" s="263"/>
      <c r="E94" s="263"/>
      <c r="F94" s="263"/>
      <c r="G94" s="263"/>
      <c r="H94" s="263"/>
      <c r="I94" s="263"/>
      <c r="J94" s="263"/>
      <c r="K94" s="263"/>
      <c r="L94" s="263"/>
      <c r="M94" s="263"/>
      <c r="N94" s="265">
        <v>0</v>
      </c>
      <c r="O94" s="266"/>
      <c r="P94" s="5"/>
    </row>
    <row r="95" spans="1:17" ht="15.6" x14ac:dyDescent="0.3">
      <c r="A95" s="274" t="s">
        <v>169</v>
      </c>
      <c r="B95" s="263" t="s">
        <v>215</v>
      </c>
      <c r="C95" s="263"/>
      <c r="D95" s="263"/>
      <c r="E95" s="263"/>
      <c r="F95" s="263"/>
      <c r="G95" s="263"/>
      <c r="H95" s="263"/>
      <c r="I95" s="263"/>
      <c r="J95" s="263"/>
      <c r="K95" s="263"/>
      <c r="L95" s="263"/>
      <c r="M95" s="263"/>
      <c r="N95" s="265">
        <v>-3</v>
      </c>
      <c r="O95" s="266"/>
      <c r="P95" s="5"/>
      <c r="Q95" s="104"/>
    </row>
    <row r="96" spans="1:17" ht="15.6" x14ac:dyDescent="0.3">
      <c r="A96" s="274" t="s">
        <v>170</v>
      </c>
      <c r="B96" s="263" t="s">
        <v>216</v>
      </c>
      <c r="C96" s="263"/>
      <c r="D96" s="263"/>
      <c r="E96" s="263"/>
      <c r="F96" s="263"/>
      <c r="G96" s="263"/>
      <c r="H96" s="263"/>
      <c r="I96" s="263"/>
      <c r="J96" s="263"/>
      <c r="K96" s="263"/>
      <c r="L96" s="263"/>
      <c r="M96" s="263"/>
      <c r="N96" s="265">
        <v>-3</v>
      </c>
      <c r="O96" s="266"/>
      <c r="P96" s="5"/>
      <c r="Q96" s="104"/>
    </row>
    <row r="97" spans="1:16" ht="15.6" x14ac:dyDescent="0.3">
      <c r="A97" s="274">
        <v>7</v>
      </c>
      <c r="B97" s="263" t="s">
        <v>33</v>
      </c>
      <c r="C97" s="263"/>
      <c r="D97" s="263"/>
      <c r="E97" s="263"/>
      <c r="F97" s="263"/>
      <c r="G97" s="263"/>
      <c r="H97" s="263"/>
      <c r="I97" s="263"/>
      <c r="J97" s="263"/>
      <c r="K97" s="263"/>
      <c r="L97" s="263"/>
      <c r="M97" s="263"/>
      <c r="N97" s="265">
        <v>-7</v>
      </c>
      <c r="O97" s="266"/>
      <c r="P97" s="5"/>
    </row>
    <row r="98" spans="1:16" ht="15.6" x14ac:dyDescent="0.3">
      <c r="A98" s="274">
        <f t="shared" ref="A98:A104" si="0">+A97+1</f>
        <v>8</v>
      </c>
      <c r="B98" s="263" t="s">
        <v>42</v>
      </c>
      <c r="C98" s="263"/>
      <c r="D98" s="263"/>
      <c r="E98" s="263"/>
      <c r="F98" s="263"/>
      <c r="G98" s="263"/>
      <c r="H98" s="263"/>
      <c r="I98" s="263"/>
      <c r="J98" s="263"/>
      <c r="K98" s="263"/>
      <c r="L98" s="264">
        <f>-N98</f>
        <v>-1</v>
      </c>
      <c r="M98" s="263"/>
      <c r="N98" s="265">
        <v>1</v>
      </c>
      <c r="O98" s="266"/>
      <c r="P98" s="5"/>
    </row>
    <row r="99" spans="1:16" ht="15.6" x14ac:dyDescent="0.3">
      <c r="A99" s="274">
        <f t="shared" si="0"/>
        <v>9</v>
      </c>
      <c r="B99" s="263" t="s">
        <v>121</v>
      </c>
      <c r="C99" s="263"/>
      <c r="D99" s="263"/>
      <c r="E99" s="263"/>
      <c r="F99" s="263"/>
      <c r="G99" s="263"/>
      <c r="H99" s="263"/>
      <c r="I99" s="263"/>
      <c r="J99" s="263"/>
      <c r="K99" s="263"/>
      <c r="L99" s="263"/>
      <c r="M99" s="263"/>
      <c r="N99" s="265">
        <v>0</v>
      </c>
      <c r="O99" s="266"/>
      <c r="P99" s="5"/>
    </row>
    <row r="100" spans="1:16" ht="15.6" x14ac:dyDescent="0.3">
      <c r="A100" s="274">
        <f t="shared" si="0"/>
        <v>10</v>
      </c>
      <c r="B100" s="263" t="s">
        <v>182</v>
      </c>
      <c r="C100" s="263"/>
      <c r="D100" s="263"/>
      <c r="E100" s="263"/>
      <c r="F100" s="263"/>
      <c r="G100" s="263"/>
      <c r="H100" s="263"/>
      <c r="I100" s="263"/>
      <c r="J100" s="263"/>
      <c r="K100" s="263"/>
      <c r="L100" s="263"/>
      <c r="M100" s="263"/>
      <c r="N100" s="265">
        <v>0</v>
      </c>
      <c r="O100" s="266"/>
      <c r="P100" s="5"/>
    </row>
    <row r="101" spans="1:16" ht="15.6" x14ac:dyDescent="0.3">
      <c r="A101" s="274">
        <f t="shared" si="0"/>
        <v>11</v>
      </c>
      <c r="B101" s="263" t="s">
        <v>34</v>
      </c>
      <c r="C101" s="263"/>
      <c r="D101" s="263"/>
      <c r="E101" s="263"/>
      <c r="F101" s="263"/>
      <c r="G101" s="263"/>
      <c r="H101" s="263"/>
      <c r="I101" s="263"/>
      <c r="J101" s="263"/>
      <c r="K101" s="263"/>
      <c r="L101" s="263"/>
      <c r="M101" s="263"/>
      <c r="N101" s="265">
        <v>0</v>
      </c>
      <c r="O101" s="266"/>
      <c r="P101" s="5"/>
    </row>
    <row r="102" spans="1:16" ht="15.6" x14ac:dyDescent="0.3">
      <c r="A102" s="274">
        <f t="shared" si="0"/>
        <v>12</v>
      </c>
      <c r="B102" s="263" t="s">
        <v>181</v>
      </c>
      <c r="C102" s="263"/>
      <c r="D102" s="263"/>
      <c r="E102" s="263"/>
      <c r="F102" s="263"/>
      <c r="G102" s="263"/>
      <c r="H102" s="263"/>
      <c r="I102" s="263"/>
      <c r="J102" s="263"/>
      <c r="K102" s="263"/>
      <c r="L102" s="263"/>
      <c r="M102" s="263"/>
      <c r="N102" s="265">
        <v>0</v>
      </c>
      <c r="O102" s="266"/>
      <c r="P102" s="5"/>
    </row>
    <row r="103" spans="1:16" ht="15.6" x14ac:dyDescent="0.3">
      <c r="A103" s="274">
        <f t="shared" si="0"/>
        <v>13</v>
      </c>
      <c r="B103" s="263" t="s">
        <v>139</v>
      </c>
      <c r="C103" s="263"/>
      <c r="D103" s="263"/>
      <c r="E103" s="263"/>
      <c r="F103" s="263"/>
      <c r="G103" s="263"/>
      <c r="H103" s="263"/>
      <c r="I103" s="263"/>
      <c r="J103" s="263"/>
      <c r="K103" s="263"/>
      <c r="L103" s="263"/>
      <c r="M103" s="263"/>
      <c r="N103" s="265">
        <v>-6</v>
      </c>
      <c r="O103" s="266"/>
      <c r="P103" s="5"/>
    </row>
    <row r="104" spans="1:16" ht="15.6" x14ac:dyDescent="0.3">
      <c r="A104" s="274">
        <f t="shared" si="0"/>
        <v>14</v>
      </c>
      <c r="B104" s="263" t="s">
        <v>122</v>
      </c>
      <c r="C104" s="263"/>
      <c r="D104" s="263"/>
      <c r="E104" s="263"/>
      <c r="F104" s="263"/>
      <c r="G104" s="263"/>
      <c r="H104" s="263"/>
      <c r="I104" s="263"/>
      <c r="J104" s="263"/>
      <c r="K104" s="263"/>
      <c r="L104" s="263"/>
      <c r="M104" s="263"/>
      <c r="N104" s="265">
        <f>-N87-SUM(N89:N103)</f>
        <v>-124</v>
      </c>
      <c r="O104" s="266"/>
      <c r="P104" s="5"/>
    </row>
    <row r="105" spans="1:16" ht="15.6" x14ac:dyDescent="0.3">
      <c r="A105" s="262"/>
      <c r="B105" s="310" t="s">
        <v>35</v>
      </c>
      <c r="C105" s="291"/>
      <c r="D105" s="291"/>
      <c r="E105" s="291"/>
      <c r="F105" s="291"/>
      <c r="G105" s="291"/>
      <c r="H105" s="291"/>
      <c r="I105" s="291"/>
      <c r="J105" s="291"/>
      <c r="K105" s="291"/>
      <c r="L105" s="291"/>
      <c r="M105" s="291"/>
      <c r="N105" s="313"/>
      <c r="O105" s="270"/>
      <c r="P105" s="5"/>
    </row>
    <row r="106" spans="1:16" ht="15.6" x14ac:dyDescent="0.3">
      <c r="A106" s="274"/>
      <c r="B106" s="263" t="s">
        <v>160</v>
      </c>
      <c r="C106" s="263"/>
      <c r="D106" s="263"/>
      <c r="E106" s="263"/>
      <c r="F106" s="263"/>
      <c r="G106" s="263"/>
      <c r="H106" s="263"/>
      <c r="I106" s="263"/>
      <c r="J106" s="263"/>
      <c r="K106" s="263"/>
      <c r="L106" s="264">
        <v>0</v>
      </c>
      <c r="M106" s="264"/>
      <c r="N106" s="265"/>
      <c r="O106" s="266"/>
      <c r="P106" s="5"/>
    </row>
    <row r="107" spans="1:16" ht="15.6" x14ac:dyDescent="0.3">
      <c r="A107" s="274"/>
      <c r="B107" s="263" t="s">
        <v>161</v>
      </c>
      <c r="C107" s="263"/>
      <c r="D107" s="263"/>
      <c r="E107" s="263"/>
      <c r="F107" s="263"/>
      <c r="G107" s="263"/>
      <c r="H107" s="263"/>
      <c r="I107" s="263"/>
      <c r="J107" s="263"/>
      <c r="K107" s="263"/>
      <c r="L107" s="264">
        <v>0</v>
      </c>
      <c r="M107" s="264"/>
      <c r="N107" s="265"/>
      <c r="O107" s="266"/>
      <c r="P107" s="5"/>
    </row>
    <row r="108" spans="1:16" ht="15.6" x14ac:dyDescent="0.3">
      <c r="A108" s="274"/>
      <c r="B108" s="263" t="s">
        <v>200</v>
      </c>
      <c r="C108" s="263"/>
      <c r="D108" s="263"/>
      <c r="E108" s="263"/>
      <c r="F108" s="263"/>
      <c r="G108" s="263"/>
      <c r="H108" s="263"/>
      <c r="I108" s="263"/>
      <c r="J108" s="263"/>
      <c r="K108" s="263"/>
      <c r="L108" s="264">
        <v>-1048</v>
      </c>
      <c r="M108" s="264"/>
      <c r="N108" s="265"/>
      <c r="O108" s="266"/>
      <c r="P108" s="5"/>
    </row>
    <row r="109" spans="1:16" ht="15.6" x14ac:dyDescent="0.3">
      <c r="A109" s="274"/>
      <c r="B109" s="263" t="s">
        <v>201</v>
      </c>
      <c r="C109" s="263"/>
      <c r="D109" s="263"/>
      <c r="E109" s="263"/>
      <c r="F109" s="263"/>
      <c r="G109" s="263"/>
      <c r="H109" s="263"/>
      <c r="I109" s="263"/>
      <c r="J109" s="263"/>
      <c r="K109" s="263"/>
      <c r="L109" s="264">
        <v>0</v>
      </c>
      <c r="M109" s="264"/>
      <c r="N109" s="265"/>
      <c r="O109" s="266"/>
      <c r="P109" s="5"/>
    </row>
    <row r="110" spans="1:16" ht="15.6" x14ac:dyDescent="0.3">
      <c r="A110" s="274"/>
      <c r="B110" s="263" t="s">
        <v>202</v>
      </c>
      <c r="C110" s="263"/>
      <c r="D110" s="263"/>
      <c r="E110" s="263"/>
      <c r="F110" s="263"/>
      <c r="G110" s="263"/>
      <c r="H110" s="263"/>
      <c r="I110" s="263"/>
      <c r="J110" s="263"/>
      <c r="K110" s="263"/>
      <c r="L110" s="264">
        <v>0</v>
      </c>
      <c r="M110" s="264"/>
      <c r="N110" s="265"/>
      <c r="O110" s="266"/>
      <c r="P110" s="5"/>
    </row>
    <row r="111" spans="1:16" ht="15.6" x14ac:dyDescent="0.3">
      <c r="A111" s="274"/>
      <c r="B111" s="263" t="s">
        <v>36</v>
      </c>
      <c r="C111" s="263"/>
      <c r="D111" s="263"/>
      <c r="E111" s="263"/>
      <c r="F111" s="263"/>
      <c r="G111" s="263"/>
      <c r="H111" s="263"/>
      <c r="I111" s="263"/>
      <c r="J111" s="263"/>
      <c r="K111" s="263"/>
      <c r="L111" s="264">
        <f>SUM(L106:L110)</f>
        <v>-1048</v>
      </c>
      <c r="M111" s="264"/>
      <c r="N111" s="264">
        <f>SUM(N88:N109)</f>
        <v>-198</v>
      </c>
      <c r="O111" s="266"/>
      <c r="P111" s="5"/>
    </row>
    <row r="112" spans="1:16" ht="15.6" x14ac:dyDescent="0.3">
      <c r="A112" s="274"/>
      <c r="B112" s="263" t="s">
        <v>37</v>
      </c>
      <c r="C112" s="263"/>
      <c r="D112" s="263"/>
      <c r="E112" s="263"/>
      <c r="F112" s="263"/>
      <c r="G112" s="263"/>
      <c r="H112" s="263"/>
      <c r="I112" s="263"/>
      <c r="J112" s="263"/>
      <c r="K112" s="263"/>
      <c r="L112" s="264">
        <f>L87+L111+L98</f>
        <v>0</v>
      </c>
      <c r="M112" s="264"/>
      <c r="N112" s="264">
        <f>N87+N111</f>
        <v>0</v>
      </c>
      <c r="O112" s="266"/>
      <c r="P112" s="5"/>
    </row>
    <row r="113" spans="1:17" ht="15.6" x14ac:dyDescent="0.3">
      <c r="A113" s="237"/>
      <c r="B113" s="248"/>
      <c r="C113" s="248"/>
      <c r="D113" s="248"/>
      <c r="E113" s="248"/>
      <c r="F113" s="248"/>
      <c r="G113" s="248"/>
      <c r="H113" s="248"/>
      <c r="I113" s="248"/>
      <c r="J113" s="248"/>
      <c r="K113" s="248"/>
      <c r="L113" s="308"/>
      <c r="M113" s="308"/>
      <c r="N113" s="308"/>
      <c r="O113" s="248"/>
      <c r="P113" s="5"/>
    </row>
    <row r="114" spans="1:17" ht="15.6" x14ac:dyDescent="0.3">
      <c r="A114" s="237"/>
      <c r="B114" s="238"/>
      <c r="C114" s="238"/>
      <c r="D114" s="238"/>
      <c r="E114" s="238"/>
      <c r="F114" s="238"/>
      <c r="G114" s="238"/>
      <c r="H114" s="238"/>
      <c r="I114" s="238"/>
      <c r="J114" s="238"/>
      <c r="K114" s="238"/>
      <c r="L114" s="238"/>
      <c r="M114" s="238"/>
      <c r="N114" s="246"/>
      <c r="O114" s="238"/>
      <c r="P114" s="5"/>
    </row>
    <row r="115" spans="1:17" ht="18" thickBot="1" x14ac:dyDescent="0.35">
      <c r="A115" s="241"/>
      <c r="B115" s="242" t="str">
        <f>B52</f>
        <v>FF7 INVESTOR REPORT QUARTER ENDING AUGUST 2017</v>
      </c>
      <c r="C115" s="243"/>
      <c r="D115" s="243"/>
      <c r="E115" s="243"/>
      <c r="F115" s="243"/>
      <c r="G115" s="243"/>
      <c r="H115" s="243"/>
      <c r="I115" s="243"/>
      <c r="J115" s="243"/>
      <c r="K115" s="243"/>
      <c r="L115" s="243"/>
      <c r="M115" s="243"/>
      <c r="N115" s="247"/>
      <c r="O115" s="245"/>
      <c r="P115" s="5"/>
    </row>
    <row r="116" spans="1:17" ht="15.6" x14ac:dyDescent="0.3">
      <c r="A116" s="371"/>
      <c r="B116" s="391" t="s">
        <v>38</v>
      </c>
      <c r="C116" s="372"/>
      <c r="D116" s="372"/>
      <c r="E116" s="372"/>
      <c r="F116" s="372"/>
      <c r="G116" s="372"/>
      <c r="H116" s="372"/>
      <c r="I116" s="372"/>
      <c r="J116" s="372"/>
      <c r="K116" s="372"/>
      <c r="L116" s="372"/>
      <c r="M116" s="372"/>
      <c r="N116" s="373"/>
      <c r="O116" s="372"/>
      <c r="P116" s="5"/>
    </row>
    <row r="117" spans="1:17" ht="15.6" x14ac:dyDescent="0.3">
      <c r="A117" s="188"/>
      <c r="B117" s="201"/>
      <c r="C117" s="190"/>
      <c r="D117" s="190"/>
      <c r="E117" s="190"/>
      <c r="F117" s="190"/>
      <c r="G117" s="190"/>
      <c r="H117" s="190"/>
      <c r="I117" s="190"/>
      <c r="J117" s="190"/>
      <c r="K117" s="190"/>
      <c r="L117" s="190"/>
      <c r="M117" s="190"/>
      <c r="N117" s="206"/>
      <c r="O117" s="190"/>
      <c r="P117" s="5"/>
    </row>
    <row r="118" spans="1:17" ht="15.6" x14ac:dyDescent="0.3">
      <c r="A118" s="188"/>
      <c r="B118" s="213" t="s">
        <v>39</v>
      </c>
      <c r="C118" s="190"/>
      <c r="D118" s="190"/>
      <c r="E118" s="190"/>
      <c r="F118" s="190"/>
      <c r="G118" s="190"/>
      <c r="H118" s="190"/>
      <c r="I118" s="190"/>
      <c r="J118" s="190"/>
      <c r="K118" s="190"/>
      <c r="L118" s="190"/>
      <c r="M118" s="190"/>
      <c r="N118" s="206"/>
      <c r="O118" s="190"/>
      <c r="P118" s="5"/>
    </row>
    <row r="119" spans="1:17" ht="15.6" x14ac:dyDescent="0.3">
      <c r="A119" s="262"/>
      <c r="B119" s="263" t="s">
        <v>40</v>
      </c>
      <c r="C119" s="263"/>
      <c r="D119" s="263"/>
      <c r="E119" s="263"/>
      <c r="F119" s="263"/>
      <c r="G119" s="263"/>
      <c r="H119" s="263"/>
      <c r="I119" s="263"/>
      <c r="J119" s="263"/>
      <c r="K119" s="263"/>
      <c r="L119" s="263"/>
      <c r="M119" s="263"/>
      <c r="N119" s="265">
        <f>N28*0.003</f>
        <v>805.80000000000007</v>
      </c>
      <c r="O119" s="266"/>
      <c r="P119" s="5"/>
    </row>
    <row r="120" spans="1:17" ht="15.6" x14ac:dyDescent="0.3">
      <c r="A120" s="262"/>
      <c r="B120" s="263" t="s">
        <v>41</v>
      </c>
      <c r="C120" s="263"/>
      <c r="D120" s="263"/>
      <c r="E120" s="263"/>
      <c r="F120" s="263"/>
      <c r="G120" s="263"/>
      <c r="H120" s="263"/>
      <c r="I120" s="263"/>
      <c r="J120" s="263"/>
      <c r="K120" s="263"/>
      <c r="L120" s="263"/>
      <c r="M120" s="263"/>
      <c r="N120" s="265">
        <v>806</v>
      </c>
      <c r="O120" s="266"/>
      <c r="P120" s="5"/>
    </row>
    <row r="121" spans="1:17" ht="15.6" x14ac:dyDescent="0.3">
      <c r="A121" s="262"/>
      <c r="B121" s="263" t="s">
        <v>132</v>
      </c>
      <c r="C121" s="263"/>
      <c r="D121" s="263"/>
      <c r="E121" s="263"/>
      <c r="F121" s="263"/>
      <c r="G121" s="263"/>
      <c r="H121" s="263"/>
      <c r="I121" s="263"/>
      <c r="J121" s="263"/>
      <c r="K121" s="263"/>
      <c r="L121" s="263"/>
      <c r="M121" s="263"/>
      <c r="N121" s="265">
        <v>0</v>
      </c>
      <c r="O121" s="266"/>
      <c r="P121" s="5"/>
    </row>
    <row r="122" spans="1:17" ht="15.6" x14ac:dyDescent="0.3">
      <c r="A122" s="262"/>
      <c r="B122" s="263" t="s">
        <v>221</v>
      </c>
      <c r="C122" s="263"/>
      <c r="D122" s="263"/>
      <c r="E122" s="263"/>
      <c r="F122" s="263"/>
      <c r="G122" s="263"/>
      <c r="H122" s="263"/>
      <c r="I122" s="263"/>
      <c r="J122" s="263"/>
      <c r="K122" s="263"/>
      <c r="L122" s="263"/>
      <c r="M122" s="263"/>
      <c r="N122" s="265">
        <v>0</v>
      </c>
      <c r="O122" s="266"/>
      <c r="P122" s="5"/>
    </row>
    <row r="123" spans="1:17" ht="15.6" x14ac:dyDescent="0.3">
      <c r="A123" s="262"/>
      <c r="B123" s="263" t="s">
        <v>222</v>
      </c>
      <c r="C123" s="263"/>
      <c r="D123" s="263"/>
      <c r="E123" s="263"/>
      <c r="F123" s="263"/>
      <c r="G123" s="263"/>
      <c r="H123" s="263"/>
      <c r="I123" s="263"/>
      <c r="J123" s="263"/>
      <c r="K123" s="263"/>
      <c r="L123" s="263"/>
      <c r="M123" s="263"/>
      <c r="N123" s="265">
        <v>0</v>
      </c>
      <c r="O123" s="266"/>
      <c r="P123" s="5"/>
    </row>
    <row r="124" spans="1:17" ht="15.6" x14ac:dyDescent="0.3">
      <c r="A124" s="262"/>
      <c r="B124" s="263" t="s">
        <v>223</v>
      </c>
      <c r="C124" s="263"/>
      <c r="D124" s="263"/>
      <c r="E124" s="263"/>
      <c r="F124" s="263"/>
      <c r="G124" s="263"/>
      <c r="H124" s="263"/>
      <c r="I124" s="263"/>
      <c r="J124" s="263"/>
      <c r="K124" s="263"/>
      <c r="L124" s="263"/>
      <c r="M124" s="263"/>
      <c r="N124" s="265">
        <v>0</v>
      </c>
      <c r="O124" s="266"/>
      <c r="P124" s="5"/>
    </row>
    <row r="125" spans="1:17" ht="15.6" x14ac:dyDescent="0.3">
      <c r="A125" s="262"/>
      <c r="B125" s="263" t="s">
        <v>42</v>
      </c>
      <c r="C125" s="263"/>
      <c r="D125" s="263"/>
      <c r="E125" s="263"/>
      <c r="F125" s="263"/>
      <c r="G125" s="263"/>
      <c r="H125" s="263"/>
      <c r="I125" s="263"/>
      <c r="J125" s="263"/>
      <c r="K125" s="263"/>
      <c r="L125" s="263"/>
      <c r="M125" s="263"/>
      <c r="N125" s="265">
        <v>0</v>
      </c>
      <c r="O125" s="266"/>
      <c r="P125" s="5"/>
    </row>
    <row r="126" spans="1:17" ht="15.6" x14ac:dyDescent="0.3">
      <c r="A126" s="262"/>
      <c r="B126" s="263" t="s">
        <v>125</v>
      </c>
      <c r="C126" s="263"/>
      <c r="D126" s="263"/>
      <c r="E126" s="263"/>
      <c r="F126" s="263"/>
      <c r="G126" s="263"/>
      <c r="H126" s="263"/>
      <c r="I126" s="263"/>
      <c r="J126" s="263"/>
      <c r="K126" s="263"/>
      <c r="L126" s="263"/>
      <c r="M126" s="263"/>
      <c r="N126" s="265">
        <v>0</v>
      </c>
      <c r="O126" s="266"/>
      <c r="P126" s="5"/>
    </row>
    <row r="127" spans="1:17" ht="15.6" x14ac:dyDescent="0.3">
      <c r="A127" s="262"/>
      <c r="B127" s="263" t="s">
        <v>225</v>
      </c>
      <c r="C127" s="263"/>
      <c r="D127" s="263"/>
      <c r="E127" s="263"/>
      <c r="F127" s="263"/>
      <c r="G127" s="263"/>
      <c r="H127" s="263"/>
      <c r="I127" s="263"/>
      <c r="J127" s="263"/>
      <c r="K127" s="263"/>
      <c r="L127" s="263"/>
      <c r="M127" s="263"/>
      <c r="N127" s="265">
        <v>0</v>
      </c>
      <c r="O127" s="266"/>
      <c r="P127" s="5"/>
      <c r="Q127" s="104"/>
    </row>
    <row r="128" spans="1:17" ht="15.6" x14ac:dyDescent="0.3">
      <c r="A128" s="262"/>
      <c r="B128" s="263" t="s">
        <v>43</v>
      </c>
      <c r="C128" s="263"/>
      <c r="D128" s="263"/>
      <c r="E128" s="263"/>
      <c r="F128" s="263"/>
      <c r="G128" s="263"/>
      <c r="H128" s="263"/>
      <c r="I128" s="263"/>
      <c r="J128" s="263"/>
      <c r="K128" s="263"/>
      <c r="L128" s="263"/>
      <c r="M128" s="263"/>
      <c r="N128" s="265">
        <f>SUM(N120:N127)</f>
        <v>806</v>
      </c>
      <c r="O128" s="266"/>
      <c r="P128" s="5"/>
    </row>
    <row r="129" spans="1:16" ht="15.6" x14ac:dyDescent="0.3">
      <c r="A129" s="262"/>
      <c r="B129" s="291"/>
      <c r="C129" s="291"/>
      <c r="D129" s="291"/>
      <c r="E129" s="291"/>
      <c r="F129" s="291"/>
      <c r="G129" s="291"/>
      <c r="H129" s="291"/>
      <c r="I129" s="291"/>
      <c r="J129" s="291"/>
      <c r="K129" s="291"/>
      <c r="L129" s="291"/>
      <c r="M129" s="291"/>
      <c r="N129" s="312"/>
      <c r="O129" s="270"/>
      <c r="P129" s="5"/>
    </row>
    <row r="130" spans="1:16" ht="15.6" x14ac:dyDescent="0.3">
      <c r="A130" s="262"/>
      <c r="B130" s="310" t="s">
        <v>179</v>
      </c>
      <c r="C130" s="291"/>
      <c r="D130" s="291"/>
      <c r="E130" s="291"/>
      <c r="F130" s="291"/>
      <c r="G130" s="291"/>
      <c r="H130" s="291"/>
      <c r="I130" s="291"/>
      <c r="J130" s="291"/>
      <c r="K130" s="291"/>
      <c r="L130" s="291"/>
      <c r="M130" s="291"/>
      <c r="N130" s="312"/>
      <c r="O130" s="270"/>
      <c r="P130" s="5"/>
    </row>
    <row r="131" spans="1:16" ht="15.6" x14ac:dyDescent="0.3">
      <c r="A131" s="262"/>
      <c r="B131" s="263" t="s">
        <v>144</v>
      </c>
      <c r="C131" s="263"/>
      <c r="D131" s="263"/>
      <c r="E131" s="263"/>
      <c r="F131" s="263"/>
      <c r="G131" s="263"/>
      <c r="H131" s="263"/>
      <c r="I131" s="263"/>
      <c r="J131" s="263"/>
      <c r="K131" s="263"/>
      <c r="L131" s="263"/>
      <c r="M131" s="263"/>
      <c r="N131" s="265">
        <v>7098</v>
      </c>
      <c r="O131" s="266"/>
      <c r="P131" s="5"/>
    </row>
    <row r="132" spans="1:16" ht="15.6" x14ac:dyDescent="0.3">
      <c r="A132" s="262"/>
      <c r="B132" s="263" t="s">
        <v>159</v>
      </c>
      <c r="C132" s="263"/>
      <c r="D132" s="263"/>
      <c r="E132" s="263"/>
      <c r="F132" s="263"/>
      <c r="G132" s="263"/>
      <c r="H132" s="263"/>
      <c r="I132" s="263"/>
      <c r="J132" s="263"/>
      <c r="K132" s="263"/>
      <c r="L132" s="263"/>
      <c r="M132" s="263"/>
      <c r="N132" s="265">
        <v>0</v>
      </c>
      <c r="O132" s="266"/>
      <c r="P132" s="5"/>
    </row>
    <row r="133" spans="1:16" ht="15.6" x14ac:dyDescent="0.3">
      <c r="A133" s="262"/>
      <c r="B133" s="263" t="s">
        <v>278</v>
      </c>
      <c r="C133" s="263"/>
      <c r="D133" s="263"/>
      <c r="E133" s="263"/>
      <c r="F133" s="263"/>
      <c r="G133" s="263"/>
      <c r="H133" s="263"/>
      <c r="I133" s="263"/>
      <c r="J133" s="263"/>
      <c r="K133" s="263"/>
      <c r="L133" s="263"/>
      <c r="M133" s="263"/>
      <c r="N133" s="265">
        <v>0</v>
      </c>
      <c r="O133" s="266"/>
      <c r="P133" s="5"/>
    </row>
    <row r="134" spans="1:16" ht="15.6" x14ac:dyDescent="0.3">
      <c r="A134" s="262"/>
      <c r="B134" s="291"/>
      <c r="C134" s="291"/>
      <c r="D134" s="291"/>
      <c r="E134" s="291"/>
      <c r="F134" s="291"/>
      <c r="G134" s="291"/>
      <c r="H134" s="291"/>
      <c r="I134" s="291"/>
      <c r="J134" s="291"/>
      <c r="K134" s="291"/>
      <c r="L134" s="291"/>
      <c r="M134" s="291"/>
      <c r="N134" s="312"/>
      <c r="O134" s="270"/>
      <c r="P134" s="5"/>
    </row>
    <row r="135" spans="1:16" ht="15.6" x14ac:dyDescent="0.3">
      <c r="A135" s="188"/>
      <c r="B135" s="216"/>
      <c r="C135" s="216"/>
      <c r="D135" s="216"/>
      <c r="E135" s="216"/>
      <c r="F135" s="216"/>
      <c r="G135" s="216"/>
      <c r="H135" s="216"/>
      <c r="I135" s="216"/>
      <c r="J135" s="216"/>
      <c r="K135" s="216"/>
      <c r="L135" s="216"/>
      <c r="M135" s="216"/>
      <c r="N135" s="217"/>
      <c r="O135" s="216"/>
      <c r="P135" s="5"/>
    </row>
    <row r="136" spans="1:16" ht="15.6" x14ac:dyDescent="0.3">
      <c r="A136" s="188"/>
      <c r="B136" s="213" t="s">
        <v>22</v>
      </c>
      <c r="C136" s="190"/>
      <c r="D136" s="190"/>
      <c r="E136" s="190"/>
      <c r="F136" s="190"/>
      <c r="G136" s="190"/>
      <c r="H136" s="190"/>
      <c r="I136" s="190"/>
      <c r="J136" s="190"/>
      <c r="K136" s="190"/>
      <c r="L136" s="190"/>
      <c r="M136" s="190"/>
      <c r="N136" s="206"/>
      <c r="O136" s="190"/>
      <c r="P136" s="5"/>
    </row>
    <row r="137" spans="1:16" ht="15.6" x14ac:dyDescent="0.3">
      <c r="A137" s="262"/>
      <c r="B137" s="263" t="s">
        <v>44</v>
      </c>
      <c r="C137" s="263"/>
      <c r="D137" s="263"/>
      <c r="E137" s="263"/>
      <c r="F137" s="263"/>
      <c r="G137" s="263"/>
      <c r="H137" s="263"/>
      <c r="I137" s="263"/>
      <c r="J137" s="263"/>
      <c r="K137" s="263"/>
      <c r="L137" s="263"/>
      <c r="M137" s="263"/>
      <c r="N137" s="314" t="s">
        <v>117</v>
      </c>
      <c r="O137" s="266"/>
      <c r="P137" s="5"/>
    </row>
    <row r="138" spans="1:16" ht="15.6" x14ac:dyDescent="0.3">
      <c r="A138" s="262"/>
      <c r="B138" s="263" t="s">
        <v>45</v>
      </c>
      <c r="C138" s="268"/>
      <c r="D138" s="268"/>
      <c r="E138" s="268"/>
      <c r="F138" s="268"/>
      <c r="G138" s="268"/>
      <c r="H138" s="268"/>
      <c r="I138" s="268"/>
      <c r="J138" s="268"/>
      <c r="K138" s="268"/>
      <c r="L138" s="268"/>
      <c r="M138" s="268"/>
      <c r="N138" s="314" t="s">
        <v>117</v>
      </c>
      <c r="O138" s="266"/>
      <c r="P138" s="5"/>
    </row>
    <row r="139" spans="1:16" ht="15.6" x14ac:dyDescent="0.3">
      <c r="A139" s="262"/>
      <c r="B139" s="263" t="s">
        <v>46</v>
      </c>
      <c r="C139" s="263"/>
      <c r="D139" s="263"/>
      <c r="E139" s="263"/>
      <c r="F139" s="263"/>
      <c r="G139" s="263"/>
      <c r="H139" s="263"/>
      <c r="I139" s="263"/>
      <c r="J139" s="263"/>
      <c r="K139" s="263"/>
      <c r="L139" s="263"/>
      <c r="M139" s="263"/>
      <c r="N139" s="314" t="s">
        <v>117</v>
      </c>
      <c r="O139" s="266"/>
      <c r="P139" s="5"/>
    </row>
    <row r="140" spans="1:16" ht="15.6" x14ac:dyDescent="0.3">
      <c r="A140" s="262"/>
      <c r="B140" s="263" t="s">
        <v>47</v>
      </c>
      <c r="C140" s="263"/>
      <c r="D140" s="263"/>
      <c r="E140" s="263"/>
      <c r="F140" s="263"/>
      <c r="G140" s="263"/>
      <c r="H140" s="263"/>
      <c r="I140" s="263"/>
      <c r="J140" s="263"/>
      <c r="K140" s="263"/>
      <c r="L140" s="263"/>
      <c r="M140" s="263"/>
      <c r="N140" s="314" t="s">
        <v>117</v>
      </c>
      <c r="O140" s="266"/>
      <c r="P140" s="5"/>
    </row>
    <row r="141" spans="1:16" ht="15.6" x14ac:dyDescent="0.3">
      <c r="A141" s="188"/>
      <c r="B141" s="216"/>
      <c r="C141" s="216"/>
      <c r="D141" s="216"/>
      <c r="E141" s="216"/>
      <c r="F141" s="216"/>
      <c r="G141" s="216"/>
      <c r="H141" s="216"/>
      <c r="I141" s="216"/>
      <c r="J141" s="216"/>
      <c r="K141" s="216"/>
      <c r="L141" s="216"/>
      <c r="M141" s="216"/>
      <c r="N141" s="217"/>
      <c r="O141" s="216"/>
      <c r="P141" s="5"/>
    </row>
    <row r="142" spans="1:16" ht="15.6" x14ac:dyDescent="0.3">
      <c r="A142" s="188"/>
      <c r="B142" s="213" t="s">
        <v>48</v>
      </c>
      <c r="C142" s="190"/>
      <c r="D142" s="190"/>
      <c r="E142" s="190"/>
      <c r="F142" s="190"/>
      <c r="G142" s="190"/>
      <c r="H142" s="190"/>
      <c r="I142" s="190"/>
      <c r="J142" s="190"/>
      <c r="K142" s="190"/>
      <c r="L142" s="190"/>
      <c r="M142" s="190"/>
      <c r="N142" s="214"/>
      <c r="O142" s="190"/>
      <c r="P142" s="5"/>
    </row>
    <row r="143" spans="1:16" ht="15.6" x14ac:dyDescent="0.3">
      <c r="A143" s="262"/>
      <c r="B143" s="263" t="s">
        <v>49</v>
      </c>
      <c r="C143" s="263"/>
      <c r="D143" s="263"/>
      <c r="E143" s="263"/>
      <c r="F143" s="263"/>
      <c r="G143" s="263"/>
      <c r="H143" s="263"/>
      <c r="I143" s="263"/>
      <c r="J143" s="263"/>
      <c r="K143" s="263"/>
      <c r="L143" s="263"/>
      <c r="M143" s="263"/>
      <c r="N143" s="265">
        <v>0</v>
      </c>
      <c r="O143" s="266"/>
      <c r="P143" s="5"/>
    </row>
    <row r="144" spans="1:16" ht="15.6" x14ac:dyDescent="0.3">
      <c r="A144" s="262"/>
      <c r="B144" s="263" t="s">
        <v>50</v>
      </c>
      <c r="C144" s="263"/>
      <c r="D144" s="263"/>
      <c r="E144" s="263"/>
      <c r="F144" s="263"/>
      <c r="G144" s="263"/>
      <c r="H144" s="263"/>
      <c r="I144" s="263"/>
      <c r="J144" s="263"/>
      <c r="K144" s="263"/>
      <c r="L144" s="263"/>
      <c r="M144" s="263"/>
      <c r="N144" s="265">
        <v>-1</v>
      </c>
      <c r="O144" s="266"/>
      <c r="P144" s="5"/>
    </row>
    <row r="145" spans="1:256" ht="15.6" x14ac:dyDescent="0.3">
      <c r="A145" s="262"/>
      <c r="B145" s="263" t="s">
        <v>51</v>
      </c>
      <c r="C145" s="263"/>
      <c r="D145" s="263"/>
      <c r="E145" s="263"/>
      <c r="F145" s="263"/>
      <c r="G145" s="263"/>
      <c r="H145" s="263"/>
      <c r="I145" s="263"/>
      <c r="J145" s="263"/>
      <c r="K145" s="263"/>
      <c r="L145" s="263"/>
      <c r="M145" s="263"/>
      <c r="N145" s="265">
        <f>+N143+N144</f>
        <v>-1</v>
      </c>
      <c r="O145" s="266"/>
      <c r="P145" s="5"/>
    </row>
    <row r="146" spans="1:256" ht="15.6" x14ac:dyDescent="0.3">
      <c r="A146" s="262"/>
      <c r="B146" s="263" t="s">
        <v>264</v>
      </c>
      <c r="C146" s="263"/>
      <c r="D146" s="263"/>
      <c r="E146" s="263"/>
      <c r="F146" s="263"/>
      <c r="G146" s="263"/>
      <c r="H146" s="263"/>
      <c r="I146" s="263"/>
      <c r="J146" s="263"/>
      <c r="K146" s="263"/>
      <c r="L146" s="263"/>
      <c r="M146" s="263"/>
      <c r="N146" s="265">
        <f>N98</f>
        <v>1</v>
      </c>
      <c r="O146" s="266"/>
      <c r="P146" s="5"/>
    </row>
    <row r="147" spans="1:256" ht="15.6" x14ac:dyDescent="0.3">
      <c r="A147" s="262"/>
      <c r="B147" s="263" t="s">
        <v>52</v>
      </c>
      <c r="C147" s="263"/>
      <c r="D147" s="263"/>
      <c r="E147" s="263"/>
      <c r="F147" s="263"/>
      <c r="G147" s="263"/>
      <c r="H147" s="263"/>
      <c r="I147" s="263"/>
      <c r="J147" s="263"/>
      <c r="K147" s="263"/>
      <c r="L147" s="263"/>
      <c r="M147" s="263"/>
      <c r="N147" s="265">
        <f>N145+N146</f>
        <v>0</v>
      </c>
      <c r="O147" s="266"/>
      <c r="P147" s="5"/>
    </row>
    <row r="148" spans="1:256" ht="16.2" thickBot="1" x14ac:dyDescent="0.35">
      <c r="A148" s="188"/>
      <c r="B148" s="216"/>
      <c r="C148" s="216"/>
      <c r="D148" s="216"/>
      <c r="E148" s="216"/>
      <c r="F148" s="216"/>
      <c r="G148" s="216"/>
      <c r="H148" s="216"/>
      <c r="I148" s="216"/>
      <c r="J148" s="216"/>
      <c r="K148" s="216"/>
      <c r="L148" s="216"/>
      <c r="M148" s="216"/>
      <c r="N148" s="217"/>
      <c r="O148" s="216"/>
      <c r="P148" s="5"/>
    </row>
    <row r="149" spans="1:256" ht="15.6" x14ac:dyDescent="0.3">
      <c r="A149" s="186"/>
      <c r="B149" s="187"/>
      <c r="C149" s="187"/>
      <c r="D149" s="187"/>
      <c r="E149" s="187"/>
      <c r="F149" s="187"/>
      <c r="G149" s="187"/>
      <c r="H149" s="187"/>
      <c r="I149" s="187"/>
      <c r="J149" s="187"/>
      <c r="K149" s="187"/>
      <c r="L149" s="187"/>
      <c r="M149" s="187"/>
      <c r="N149" s="205"/>
      <c r="O149" s="187"/>
      <c r="P149" s="5"/>
    </row>
    <row r="150" spans="1:256" ht="15.6" x14ac:dyDescent="0.3">
      <c r="A150" s="188"/>
      <c r="B150" s="213" t="s">
        <v>53</v>
      </c>
      <c r="C150" s="190"/>
      <c r="D150" s="190"/>
      <c r="E150" s="190"/>
      <c r="F150" s="190"/>
      <c r="G150" s="190"/>
      <c r="H150" s="190"/>
      <c r="I150" s="190"/>
      <c r="J150" s="190"/>
      <c r="K150" s="190"/>
      <c r="L150" s="190"/>
      <c r="M150" s="190"/>
      <c r="N150" s="206"/>
      <c r="O150" s="190"/>
      <c r="P150" s="5"/>
    </row>
    <row r="151" spans="1:256" ht="15.6" x14ac:dyDescent="0.3">
      <c r="A151" s="188"/>
      <c r="B151" s="201"/>
      <c r="C151" s="190"/>
      <c r="D151" s="190"/>
      <c r="E151" s="190"/>
      <c r="F151" s="190"/>
      <c r="G151" s="190"/>
      <c r="H151" s="190"/>
      <c r="I151" s="190"/>
      <c r="J151" s="190"/>
      <c r="K151" s="190"/>
      <c r="L151" s="190"/>
      <c r="M151" s="190"/>
      <c r="N151" s="206"/>
      <c r="O151" s="190"/>
      <c r="P151" s="5"/>
    </row>
    <row r="152" spans="1:256" ht="15.6" x14ac:dyDescent="0.3">
      <c r="A152" s="262"/>
      <c r="B152" s="263" t="s">
        <v>234</v>
      </c>
      <c r="C152" s="263"/>
      <c r="D152" s="263"/>
      <c r="E152" s="263"/>
      <c r="F152" s="263"/>
      <c r="G152" s="263"/>
      <c r="H152" s="263"/>
      <c r="I152" s="263"/>
      <c r="J152" s="263"/>
      <c r="K152" s="263"/>
      <c r="L152" s="263"/>
      <c r="M152" s="263"/>
      <c r="N152" s="265">
        <f>N56</f>
        <v>15955</v>
      </c>
      <c r="O152" s="266"/>
      <c r="P152" s="5"/>
      <c r="Q152" s="104"/>
    </row>
    <row r="153" spans="1:256" ht="15.6" x14ac:dyDescent="0.3">
      <c r="A153" s="262"/>
      <c r="B153" s="263" t="s">
        <v>54</v>
      </c>
      <c r="C153" s="263"/>
      <c r="D153" s="263"/>
      <c r="E153" s="263"/>
      <c r="F153" s="263"/>
      <c r="G153" s="263"/>
      <c r="H153" s="263"/>
      <c r="I153" s="263"/>
      <c r="J153" s="263"/>
      <c r="K153" s="263"/>
      <c r="L153" s="263"/>
      <c r="M153" s="263"/>
      <c r="N153" s="265">
        <f>N72</f>
        <v>15955</v>
      </c>
      <c r="O153" s="266"/>
      <c r="P153" s="5"/>
    </row>
    <row r="154" spans="1:256" ht="16.2" thickBot="1" x14ac:dyDescent="0.35">
      <c r="A154" s="188"/>
      <c r="B154" s="216"/>
      <c r="C154" s="216"/>
      <c r="D154" s="216"/>
      <c r="E154" s="216"/>
      <c r="F154" s="216"/>
      <c r="G154" s="216"/>
      <c r="H154" s="216"/>
      <c r="I154" s="216"/>
      <c r="J154" s="216"/>
      <c r="K154" s="216"/>
      <c r="L154" s="216"/>
      <c r="M154" s="216"/>
      <c r="N154" s="217"/>
      <c r="O154" s="216"/>
      <c r="P154" s="5"/>
    </row>
    <row r="155" spans="1:256" s="150" customFormat="1" ht="15.6" x14ac:dyDescent="0.3">
      <c r="A155" s="186"/>
      <c r="B155" s="187"/>
      <c r="C155" s="187"/>
      <c r="D155" s="187"/>
      <c r="E155" s="187"/>
      <c r="F155" s="187"/>
      <c r="G155" s="187"/>
      <c r="H155" s="187"/>
      <c r="I155" s="187"/>
      <c r="J155" s="187"/>
      <c r="K155" s="187"/>
      <c r="L155" s="187"/>
      <c r="M155" s="187"/>
      <c r="N155" s="205"/>
      <c r="O155" s="187"/>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s="153" customFormat="1" ht="15.6" x14ac:dyDescent="0.3">
      <c r="A156" s="188"/>
      <c r="B156" s="215" t="s">
        <v>205</v>
      </c>
      <c r="C156" s="216"/>
      <c r="D156" s="216"/>
      <c r="E156" s="216"/>
      <c r="F156" s="216"/>
      <c r="G156" s="216"/>
      <c r="H156" s="216"/>
      <c r="I156" s="216"/>
      <c r="J156" s="216"/>
      <c r="K156" s="216"/>
      <c r="L156" s="216"/>
      <c r="M156" s="216"/>
      <c r="N156" s="217"/>
      <c r="O156" s="216"/>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ht="15.6" x14ac:dyDescent="0.3">
      <c r="A157" s="188"/>
      <c r="B157" s="216"/>
      <c r="C157" s="216"/>
      <c r="D157" s="216"/>
      <c r="E157" s="216"/>
      <c r="F157" s="216"/>
      <c r="G157" s="216"/>
      <c r="H157" s="216"/>
      <c r="I157" s="216"/>
      <c r="J157" s="216"/>
      <c r="K157" s="216"/>
      <c r="L157" s="216"/>
      <c r="M157" s="216"/>
      <c r="N157" s="217"/>
      <c r="O157" s="216"/>
      <c r="P157" s="5"/>
    </row>
    <row r="158" spans="1:256" s="156" customFormat="1" ht="15.6" x14ac:dyDescent="0.3">
      <c r="A158" s="262"/>
      <c r="B158" s="263" t="s">
        <v>206</v>
      </c>
      <c r="C158" s="263"/>
      <c r="D158" s="263"/>
      <c r="E158" s="263"/>
      <c r="F158" s="263"/>
      <c r="G158" s="263"/>
      <c r="H158" s="263"/>
      <c r="I158" s="263"/>
      <c r="J158" s="263"/>
      <c r="K158" s="263"/>
      <c r="L158" s="263"/>
      <c r="M158" s="263"/>
      <c r="N158" s="265">
        <f>+'May 17'!N161</f>
        <v>73</v>
      </c>
      <c r="O158" s="266"/>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s="153" customFormat="1" ht="15.6" x14ac:dyDescent="0.3">
      <c r="A159" s="262"/>
      <c r="B159" s="263" t="s">
        <v>207</v>
      </c>
      <c r="C159" s="263"/>
      <c r="D159" s="263"/>
      <c r="E159" s="263"/>
      <c r="F159" s="263"/>
      <c r="G159" s="263"/>
      <c r="H159" s="263"/>
      <c r="I159" s="263"/>
      <c r="J159" s="263"/>
      <c r="K159" s="263"/>
      <c r="L159" s="263"/>
      <c r="M159" s="263"/>
      <c r="N159" s="265">
        <v>1</v>
      </c>
      <c r="O159" s="266"/>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63" customFormat="1" ht="15.6" x14ac:dyDescent="0.3">
      <c r="A160" s="262"/>
      <c r="B160" s="263" t="s">
        <v>208</v>
      </c>
      <c r="C160" s="263"/>
      <c r="D160" s="263"/>
      <c r="E160" s="263"/>
      <c r="F160" s="263"/>
      <c r="G160" s="263"/>
      <c r="H160" s="263"/>
      <c r="I160" s="263"/>
      <c r="J160" s="263"/>
      <c r="K160" s="263"/>
      <c r="L160" s="263"/>
      <c r="M160" s="263"/>
      <c r="N160" s="265">
        <v>0</v>
      </c>
      <c r="O160" s="266"/>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59" customFormat="1" ht="15.6" x14ac:dyDescent="0.3">
      <c r="A161" s="262"/>
      <c r="B161" s="263" t="s">
        <v>217</v>
      </c>
      <c r="C161" s="263"/>
      <c r="D161" s="263"/>
      <c r="E161" s="263"/>
      <c r="F161" s="263"/>
      <c r="G161" s="263"/>
      <c r="H161" s="263"/>
      <c r="I161" s="263"/>
      <c r="J161" s="263"/>
      <c r="K161" s="263"/>
      <c r="L161" s="263"/>
      <c r="M161" s="263"/>
      <c r="N161" s="265">
        <f>N158-N159-N160</f>
        <v>72</v>
      </c>
      <c r="O161" s="266"/>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6.2" thickBot="1" x14ac:dyDescent="0.35">
      <c r="A162" s="188"/>
      <c r="B162" s="248"/>
      <c r="C162" s="248"/>
      <c r="D162" s="248"/>
      <c r="E162" s="248"/>
      <c r="F162" s="248"/>
      <c r="G162" s="248"/>
      <c r="H162" s="248"/>
      <c r="I162" s="248"/>
      <c r="J162" s="248"/>
      <c r="K162" s="248"/>
      <c r="L162" s="248"/>
      <c r="M162" s="248"/>
      <c r="N162" s="249"/>
      <c r="O162" s="248"/>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73" customFormat="1" ht="15.6" x14ac:dyDescent="0.3">
      <c r="A163" s="218"/>
      <c r="B163" s="219"/>
      <c r="C163" s="219"/>
      <c r="D163" s="219"/>
      <c r="E163" s="219"/>
      <c r="F163" s="219"/>
      <c r="G163" s="219"/>
      <c r="H163" s="219"/>
      <c r="I163" s="219"/>
      <c r="J163" s="219"/>
      <c r="K163" s="219"/>
      <c r="L163" s="219"/>
      <c r="M163" s="219"/>
      <c r="N163" s="220"/>
      <c r="O163" s="219"/>
      <c r="P163" s="172"/>
    </row>
    <row r="164" spans="1:256" ht="15.6" x14ac:dyDescent="0.3">
      <c r="A164" s="188"/>
      <c r="B164" s="213" t="s">
        <v>55</v>
      </c>
      <c r="C164" s="210"/>
      <c r="D164" s="221"/>
      <c r="E164" s="221"/>
      <c r="F164" s="221"/>
      <c r="G164" s="221"/>
      <c r="H164" s="221"/>
      <c r="I164" s="221"/>
      <c r="J164" s="221"/>
      <c r="K164" s="221" t="s">
        <v>98</v>
      </c>
      <c r="L164" s="221" t="s">
        <v>226</v>
      </c>
      <c r="M164" s="192"/>
      <c r="N164" s="222" t="s">
        <v>114</v>
      </c>
      <c r="O164" s="223"/>
      <c r="P164" s="5"/>
    </row>
    <row r="165" spans="1:256" ht="15.6" x14ac:dyDescent="0.3">
      <c r="A165" s="262"/>
      <c r="B165" s="263" t="s">
        <v>56</v>
      </c>
      <c r="C165" s="263"/>
      <c r="D165" s="263"/>
      <c r="E165" s="263"/>
      <c r="F165" s="263"/>
      <c r="G165" s="263"/>
      <c r="H165" s="263"/>
      <c r="I165" s="263"/>
      <c r="J165" s="263"/>
      <c r="K165" s="265" t="s">
        <v>117</v>
      </c>
      <c r="L165" s="300" t="s">
        <v>117</v>
      </c>
      <c r="M165" s="263"/>
      <c r="N165" s="265"/>
      <c r="O165" s="266"/>
      <c r="P165" s="5"/>
    </row>
    <row r="166" spans="1:256" ht="15.6" x14ac:dyDescent="0.3">
      <c r="A166" s="262"/>
      <c r="B166" s="263" t="s">
        <v>57</v>
      </c>
      <c r="C166" s="263"/>
      <c r="D166" s="263"/>
      <c r="E166" s="263"/>
      <c r="F166" s="263"/>
      <c r="G166" s="263"/>
      <c r="H166" s="263"/>
      <c r="I166" s="263"/>
      <c r="J166" s="263"/>
      <c r="K166" s="265">
        <v>0</v>
      </c>
      <c r="L166" s="265">
        <f>+'May 17'!L168</f>
        <v>19642</v>
      </c>
      <c r="M166" s="263"/>
      <c r="N166" s="265">
        <f>K166+L166</f>
        <v>19642</v>
      </c>
      <c r="O166" s="266"/>
      <c r="P166" s="5"/>
    </row>
    <row r="167" spans="1:256" ht="15.6" x14ac:dyDescent="0.3">
      <c r="A167" s="262"/>
      <c r="B167" s="263" t="s">
        <v>58</v>
      </c>
      <c r="C167" s="263"/>
      <c r="D167" s="263"/>
      <c r="E167" s="263"/>
      <c r="F167" s="263"/>
      <c r="G167" s="263"/>
      <c r="H167" s="263"/>
      <c r="I167" s="263"/>
      <c r="J167" s="263"/>
      <c r="K167" s="264">
        <v>0</v>
      </c>
      <c r="L167" s="264">
        <f>-L107</f>
        <v>0</v>
      </c>
      <c r="M167" s="263"/>
      <c r="N167" s="265">
        <f>K167+L167</f>
        <v>0</v>
      </c>
      <c r="O167" s="266"/>
      <c r="P167" s="5"/>
    </row>
    <row r="168" spans="1:256" ht="15.6" x14ac:dyDescent="0.3">
      <c r="A168" s="262"/>
      <c r="B168" s="263" t="s">
        <v>59</v>
      </c>
      <c r="C168" s="263"/>
      <c r="D168" s="263"/>
      <c r="E168" s="263"/>
      <c r="F168" s="263"/>
      <c r="G168" s="263"/>
      <c r="H168" s="263"/>
      <c r="I168" s="263"/>
      <c r="J168" s="263"/>
      <c r="K168" s="265">
        <f>K166+K167</f>
        <v>0</v>
      </c>
      <c r="L168" s="265">
        <f>L167+L166</f>
        <v>19642</v>
      </c>
      <c r="M168" s="263"/>
      <c r="N168" s="265">
        <f>K168+L168</f>
        <v>19642</v>
      </c>
      <c r="O168" s="266"/>
      <c r="P168" s="5"/>
    </row>
    <row r="169" spans="1:256" ht="15.6" x14ac:dyDescent="0.3">
      <c r="A169" s="262"/>
      <c r="B169" s="263" t="s">
        <v>60</v>
      </c>
      <c r="C169" s="263"/>
      <c r="D169" s="263"/>
      <c r="E169" s="263"/>
      <c r="F169" s="263"/>
      <c r="G169" s="263"/>
      <c r="H169" s="263"/>
      <c r="I169" s="263"/>
      <c r="J169" s="263"/>
      <c r="K169" s="265" t="s">
        <v>117</v>
      </c>
      <c r="L169" s="300" t="s">
        <v>117</v>
      </c>
      <c r="M169" s="263"/>
      <c r="N169" s="265"/>
      <c r="O169" s="266"/>
      <c r="P169" s="5"/>
    </row>
    <row r="170" spans="1:256" ht="16.2" thickBot="1" x14ac:dyDescent="0.35">
      <c r="A170" s="188"/>
      <c r="B170" s="216"/>
      <c r="C170" s="216"/>
      <c r="D170" s="216"/>
      <c r="E170" s="216"/>
      <c r="F170" s="216"/>
      <c r="G170" s="216"/>
      <c r="H170" s="216"/>
      <c r="I170" s="216"/>
      <c r="J170" s="216"/>
      <c r="K170" s="216"/>
      <c r="L170" s="216"/>
      <c r="M170" s="216"/>
      <c r="N170" s="217"/>
      <c r="O170" s="216"/>
      <c r="P170" s="5"/>
    </row>
    <row r="171" spans="1:256" ht="15.6" x14ac:dyDescent="0.3">
      <c r="A171" s="186"/>
      <c r="B171" s="187"/>
      <c r="C171" s="187"/>
      <c r="D171" s="187"/>
      <c r="E171" s="187"/>
      <c r="F171" s="187"/>
      <c r="G171" s="187"/>
      <c r="H171" s="187"/>
      <c r="I171" s="187"/>
      <c r="J171" s="187"/>
      <c r="K171" s="187"/>
      <c r="L171" s="187"/>
      <c r="M171" s="187"/>
      <c r="N171" s="205"/>
      <c r="O171" s="187"/>
      <c r="P171" s="5"/>
    </row>
    <row r="172" spans="1:256" ht="15.6" x14ac:dyDescent="0.3">
      <c r="A172" s="188"/>
      <c r="B172" s="213" t="s">
        <v>61</v>
      </c>
      <c r="C172" s="190"/>
      <c r="D172" s="190"/>
      <c r="E172" s="190"/>
      <c r="F172" s="190"/>
      <c r="G172" s="190"/>
      <c r="H172" s="190"/>
      <c r="I172" s="190"/>
      <c r="J172" s="190"/>
      <c r="K172" s="190"/>
      <c r="L172" s="190"/>
      <c r="M172" s="190"/>
      <c r="N172" s="224"/>
      <c r="O172" s="190"/>
      <c r="P172" s="5"/>
    </row>
    <row r="173" spans="1:256" ht="15.6" x14ac:dyDescent="0.3">
      <c r="A173" s="262"/>
      <c r="B173" s="263" t="s">
        <v>62</v>
      </c>
      <c r="C173" s="263"/>
      <c r="D173" s="263"/>
      <c r="E173" s="263"/>
      <c r="F173" s="263"/>
      <c r="G173" s="263"/>
      <c r="H173" s="263"/>
      <c r="I173" s="263"/>
      <c r="J173" s="263"/>
      <c r="K173" s="263"/>
      <c r="L173" s="263"/>
      <c r="M173" s="263"/>
      <c r="N173" s="314">
        <f>(N87+N89+N90+N91+N92)/-N93</f>
        <v>8.8888888888888893</v>
      </c>
      <c r="O173" s="266" t="s">
        <v>115</v>
      </c>
      <c r="P173" s="5"/>
    </row>
    <row r="174" spans="1:256" ht="15.6" x14ac:dyDescent="0.3">
      <c r="A174" s="262"/>
      <c r="B174" s="263" t="s">
        <v>63</v>
      </c>
      <c r="C174" s="263"/>
      <c r="D174" s="263"/>
      <c r="E174" s="263"/>
      <c r="F174" s="263"/>
      <c r="G174" s="263"/>
      <c r="H174" s="263"/>
      <c r="I174" s="263"/>
      <c r="J174" s="263"/>
      <c r="K174" s="263"/>
      <c r="L174" s="263"/>
      <c r="M174" s="263"/>
      <c r="N174" s="315">
        <v>2.2400000000000002</v>
      </c>
      <c r="O174" s="266" t="s">
        <v>115</v>
      </c>
      <c r="P174" s="5"/>
    </row>
    <row r="175" spans="1:256" ht="15.6" x14ac:dyDescent="0.3">
      <c r="A175" s="262"/>
      <c r="B175" s="263" t="s">
        <v>64</v>
      </c>
      <c r="C175" s="263"/>
      <c r="D175" s="263"/>
      <c r="E175" s="263"/>
      <c r="F175" s="263"/>
      <c r="G175" s="263"/>
      <c r="H175" s="263"/>
      <c r="I175" s="263"/>
      <c r="J175" s="263"/>
      <c r="K175" s="263"/>
      <c r="L175" s="263"/>
      <c r="M175" s="263"/>
      <c r="N175" s="314">
        <f>(N87+N89+N90+N91+N92+N93)/-N95</f>
        <v>47.333333333333336</v>
      </c>
      <c r="O175" s="266" t="s">
        <v>115</v>
      </c>
      <c r="P175" s="5"/>
    </row>
    <row r="176" spans="1:256" ht="15.6" x14ac:dyDescent="0.3">
      <c r="A176" s="262"/>
      <c r="B176" s="263" t="s">
        <v>65</v>
      </c>
      <c r="C176" s="263"/>
      <c r="D176" s="263"/>
      <c r="E176" s="263"/>
      <c r="F176" s="263"/>
      <c r="G176" s="263"/>
      <c r="H176" s="263"/>
      <c r="I176" s="263"/>
      <c r="J176" s="263"/>
      <c r="K176" s="263"/>
      <c r="L176" s="263"/>
      <c r="M176" s="263"/>
      <c r="N176" s="315">
        <v>51.53</v>
      </c>
      <c r="O176" s="266" t="s">
        <v>115</v>
      </c>
      <c r="P176" s="5"/>
    </row>
    <row r="177" spans="1:16" ht="15.6" x14ac:dyDescent="0.3">
      <c r="A177" s="262"/>
      <c r="B177" s="263" t="s">
        <v>166</v>
      </c>
      <c r="C177" s="263"/>
      <c r="D177" s="263"/>
      <c r="E177" s="263"/>
      <c r="F177" s="263"/>
      <c r="G177" s="263"/>
      <c r="H177" s="263"/>
      <c r="I177" s="263"/>
      <c r="J177" s="263"/>
      <c r="K177" s="263"/>
      <c r="L177" s="263"/>
      <c r="M177" s="263"/>
      <c r="N177" s="314">
        <f>(N87+N89+N90+N91+N92+N93+N95)/-N96</f>
        <v>46.333333333333336</v>
      </c>
      <c r="O177" s="266" t="s">
        <v>115</v>
      </c>
      <c r="P177" s="5"/>
    </row>
    <row r="178" spans="1:16" ht="15.6" x14ac:dyDescent="0.3">
      <c r="A178" s="262"/>
      <c r="B178" s="263" t="s">
        <v>167</v>
      </c>
      <c r="C178" s="263"/>
      <c r="D178" s="263"/>
      <c r="E178" s="263"/>
      <c r="F178" s="263"/>
      <c r="G178" s="263"/>
      <c r="H178" s="263"/>
      <c r="I178" s="263"/>
      <c r="J178" s="263"/>
      <c r="K178" s="263"/>
      <c r="L178" s="263"/>
      <c r="M178" s="263"/>
      <c r="N178" s="315">
        <v>48.36</v>
      </c>
      <c r="O178" s="266" t="s">
        <v>115</v>
      </c>
      <c r="P178" s="5"/>
    </row>
    <row r="179" spans="1:16" ht="15.6" x14ac:dyDescent="0.3">
      <c r="A179" s="316"/>
      <c r="B179" s="317"/>
      <c r="C179" s="317"/>
      <c r="D179" s="317"/>
      <c r="E179" s="317"/>
      <c r="F179" s="317"/>
      <c r="G179" s="317"/>
      <c r="H179" s="317"/>
      <c r="I179" s="317"/>
      <c r="J179" s="317"/>
      <c r="K179" s="317"/>
      <c r="L179" s="317"/>
      <c r="M179" s="317"/>
      <c r="N179" s="317"/>
      <c r="O179" s="318"/>
      <c r="P179" s="5"/>
    </row>
    <row r="180" spans="1:16" ht="15.6" x14ac:dyDescent="0.3">
      <c r="A180" s="188"/>
      <c r="B180" s="248"/>
      <c r="C180" s="248"/>
      <c r="D180" s="248"/>
      <c r="E180" s="248"/>
      <c r="F180" s="248"/>
      <c r="G180" s="248"/>
      <c r="H180" s="248"/>
      <c r="I180" s="248"/>
      <c r="J180" s="248"/>
      <c r="K180" s="248"/>
      <c r="L180" s="248"/>
      <c r="M180" s="248"/>
      <c r="N180" s="248"/>
      <c r="O180" s="248"/>
      <c r="P180" s="5"/>
    </row>
    <row r="181" spans="1:16" ht="15.6" x14ac:dyDescent="0.3">
      <c r="A181" s="188"/>
      <c r="B181" s="238"/>
      <c r="C181" s="238"/>
      <c r="D181" s="238"/>
      <c r="E181" s="238"/>
      <c r="F181" s="238"/>
      <c r="G181" s="238"/>
      <c r="H181" s="238"/>
      <c r="I181" s="238"/>
      <c r="J181" s="238"/>
      <c r="K181" s="238"/>
      <c r="L181" s="238"/>
      <c r="M181" s="238"/>
      <c r="N181" s="238"/>
      <c r="O181" s="238"/>
      <c r="P181" s="5"/>
    </row>
    <row r="182" spans="1:16" ht="18" thickBot="1" x14ac:dyDescent="0.35">
      <c r="A182" s="204"/>
      <c r="B182" s="242" t="str">
        <f>B115</f>
        <v>FF7 INVESTOR REPORT QUARTER ENDING AUGUST 2017</v>
      </c>
      <c r="C182" s="250"/>
      <c r="D182" s="250"/>
      <c r="E182" s="250"/>
      <c r="F182" s="250"/>
      <c r="G182" s="250"/>
      <c r="H182" s="250"/>
      <c r="I182" s="250"/>
      <c r="J182" s="250"/>
      <c r="K182" s="250"/>
      <c r="L182" s="250"/>
      <c r="M182" s="250"/>
      <c r="N182" s="250"/>
      <c r="O182" s="251"/>
      <c r="P182" s="5"/>
    </row>
    <row r="183" spans="1:16" ht="15.6" x14ac:dyDescent="0.3">
      <c r="A183" s="371"/>
      <c r="B183" s="391" t="s">
        <v>66</v>
      </c>
      <c r="C183" s="392"/>
      <c r="D183" s="393"/>
      <c r="E183" s="393"/>
      <c r="F183" s="393"/>
      <c r="G183" s="393"/>
      <c r="H183" s="393"/>
      <c r="I183" s="393"/>
      <c r="J183" s="393"/>
      <c r="K183" s="393"/>
      <c r="L183" s="393">
        <v>42978</v>
      </c>
      <c r="M183" s="372"/>
      <c r="N183" s="372"/>
      <c r="O183" s="372"/>
      <c r="P183" s="5"/>
    </row>
    <row r="184" spans="1:16" ht="15.6" x14ac:dyDescent="0.3">
      <c r="A184" s="225"/>
      <c r="B184" s="236"/>
      <c r="C184" s="252"/>
      <c r="D184" s="234"/>
      <c r="E184" s="234"/>
      <c r="F184" s="234"/>
      <c r="G184" s="234"/>
      <c r="H184" s="234"/>
      <c r="I184" s="234"/>
      <c r="J184" s="234"/>
      <c r="K184" s="234"/>
      <c r="L184" s="234"/>
      <c r="M184" s="238"/>
      <c r="N184" s="238"/>
      <c r="O184" s="238"/>
      <c r="P184" s="5"/>
    </row>
    <row r="185" spans="1:16" ht="15.6" x14ac:dyDescent="0.3">
      <c r="A185" s="321"/>
      <c r="B185" s="263" t="s">
        <v>67</v>
      </c>
      <c r="C185" s="322"/>
      <c r="D185" s="303"/>
      <c r="E185" s="303"/>
      <c r="F185" s="303"/>
      <c r="G185" s="303"/>
      <c r="H185" s="303"/>
      <c r="I185" s="303"/>
      <c r="J185" s="303"/>
      <c r="K185" s="303"/>
      <c r="L185" s="297">
        <v>7.2950000000000001E-2</v>
      </c>
      <c r="M185" s="263"/>
      <c r="N185" s="263"/>
      <c r="O185" s="266"/>
      <c r="P185" s="5"/>
    </row>
    <row r="186" spans="1:16" ht="15.6" x14ac:dyDescent="0.3">
      <c r="A186" s="321"/>
      <c r="B186" s="263" t="s">
        <v>213</v>
      </c>
      <c r="C186" s="322"/>
      <c r="D186" s="303"/>
      <c r="E186" s="303"/>
      <c r="F186" s="303"/>
      <c r="G186" s="303"/>
      <c r="H186" s="303"/>
      <c r="I186" s="303"/>
      <c r="J186" s="303"/>
      <c r="K186" s="303"/>
      <c r="L186" s="297">
        <v>5.79E-2</v>
      </c>
      <c r="M186" s="263"/>
      <c r="N186" s="263"/>
      <c r="O186" s="266"/>
      <c r="P186" s="5"/>
    </row>
    <row r="187" spans="1:16" ht="15.6" x14ac:dyDescent="0.3">
      <c r="A187" s="321"/>
      <c r="B187" s="263" t="s">
        <v>68</v>
      </c>
      <c r="C187" s="322"/>
      <c r="D187" s="303"/>
      <c r="E187" s="303"/>
      <c r="F187" s="303"/>
      <c r="G187" s="303"/>
      <c r="H187" s="303"/>
      <c r="I187" s="303"/>
      <c r="J187" s="303"/>
      <c r="K187" s="303"/>
      <c r="L187" s="297">
        <f>L185-L186</f>
        <v>1.5050000000000001E-2</v>
      </c>
      <c r="M187" s="263"/>
      <c r="N187" s="263"/>
      <c r="O187" s="266"/>
      <c r="P187" s="5"/>
    </row>
    <row r="188" spans="1:16" ht="15.6" x14ac:dyDescent="0.3">
      <c r="A188" s="321"/>
      <c r="B188" s="263" t="s">
        <v>69</v>
      </c>
      <c r="C188" s="322"/>
      <c r="D188" s="303"/>
      <c r="E188" s="303"/>
      <c r="F188" s="303"/>
      <c r="G188" s="303"/>
      <c r="H188" s="303"/>
      <c r="I188" s="303"/>
      <c r="J188" s="303"/>
      <c r="K188" s="303"/>
      <c r="L188" s="297">
        <v>4.0009999999999997E-2</v>
      </c>
      <c r="M188" s="263"/>
      <c r="N188" s="263"/>
      <c r="O188" s="266"/>
      <c r="P188" s="5"/>
    </row>
    <row r="189" spans="1:16" ht="15.6" x14ac:dyDescent="0.3">
      <c r="A189" s="321"/>
      <c r="B189" s="263" t="s">
        <v>212</v>
      </c>
      <c r="C189" s="322"/>
      <c r="D189" s="303"/>
      <c r="E189" s="303"/>
      <c r="F189" s="303"/>
      <c r="G189" s="303"/>
      <c r="H189" s="303"/>
      <c r="I189" s="303"/>
      <c r="J189" s="303"/>
      <c r="K189" s="303"/>
      <c r="L189" s="297">
        <f>N34</f>
        <v>5.700172657516117E-3</v>
      </c>
      <c r="M189" s="263"/>
      <c r="N189" s="263"/>
      <c r="O189" s="266"/>
      <c r="P189" s="5"/>
    </row>
    <row r="190" spans="1:16" ht="15.6" x14ac:dyDescent="0.3">
      <c r="A190" s="321"/>
      <c r="B190" s="263" t="s">
        <v>70</v>
      </c>
      <c r="C190" s="322"/>
      <c r="D190" s="303"/>
      <c r="E190" s="303"/>
      <c r="F190" s="303"/>
      <c r="G190" s="303"/>
      <c r="H190" s="303"/>
      <c r="I190" s="303"/>
      <c r="J190" s="303"/>
      <c r="K190" s="303"/>
      <c r="L190" s="297">
        <f>L188-L189</f>
        <v>3.4309827342483883E-2</v>
      </c>
      <c r="M190" s="263"/>
      <c r="N190" s="263"/>
      <c r="O190" s="266"/>
      <c r="P190" s="5"/>
    </row>
    <row r="191" spans="1:16" ht="15.6" x14ac:dyDescent="0.3">
      <c r="A191" s="321"/>
      <c r="B191" s="263" t="s">
        <v>203</v>
      </c>
      <c r="C191" s="322"/>
      <c r="D191" s="303"/>
      <c r="E191" s="303"/>
      <c r="F191" s="303"/>
      <c r="G191" s="303"/>
      <c r="H191" s="303"/>
      <c r="I191" s="303"/>
      <c r="J191" s="303"/>
      <c r="K191" s="303"/>
      <c r="L191" s="297">
        <f>+N87/F59</f>
        <v>1.1595221363316937E-2</v>
      </c>
      <c r="M191" s="263"/>
      <c r="N191" s="263"/>
      <c r="O191" s="266"/>
      <c r="P191" s="5"/>
    </row>
    <row r="192" spans="1:16" ht="15.6" x14ac:dyDescent="0.3">
      <c r="A192" s="321"/>
      <c r="B192" s="263" t="s">
        <v>171</v>
      </c>
      <c r="C192" s="322"/>
      <c r="D192" s="303"/>
      <c r="E192" s="303"/>
      <c r="F192" s="303"/>
      <c r="G192" s="303"/>
      <c r="H192" s="303"/>
      <c r="I192" s="303"/>
      <c r="J192" s="303"/>
      <c r="K192" s="303"/>
      <c r="L192" s="323">
        <v>48823</v>
      </c>
      <c r="M192" s="263"/>
      <c r="N192" s="263"/>
      <c r="O192" s="266"/>
      <c r="P192" s="5"/>
    </row>
    <row r="193" spans="1:16" ht="15.6" x14ac:dyDescent="0.3">
      <c r="A193" s="321"/>
      <c r="B193" s="263" t="s">
        <v>172</v>
      </c>
      <c r="C193" s="322"/>
      <c r="D193" s="303"/>
      <c r="E193" s="303"/>
      <c r="F193" s="303"/>
      <c r="G193" s="303"/>
      <c r="H193" s="303"/>
      <c r="I193" s="303"/>
      <c r="J193" s="303"/>
      <c r="K193" s="303"/>
      <c r="L193" s="323">
        <v>48823</v>
      </c>
      <c r="M193" s="263"/>
      <c r="N193" s="263"/>
      <c r="O193" s="266"/>
      <c r="P193" s="5"/>
    </row>
    <row r="194" spans="1:16" ht="15.6" x14ac:dyDescent="0.3">
      <c r="A194" s="321"/>
      <c r="B194" s="263" t="s">
        <v>173</v>
      </c>
      <c r="C194" s="322"/>
      <c r="D194" s="303"/>
      <c r="E194" s="303"/>
      <c r="F194" s="303"/>
      <c r="G194" s="303"/>
      <c r="H194" s="303"/>
      <c r="I194" s="303"/>
      <c r="J194" s="303"/>
      <c r="K194" s="303"/>
      <c r="L194" s="323">
        <v>48823</v>
      </c>
      <c r="M194" s="263"/>
      <c r="N194" s="263"/>
      <c r="O194" s="266"/>
      <c r="P194" s="5"/>
    </row>
    <row r="195" spans="1:16" ht="15.6" x14ac:dyDescent="0.3">
      <c r="A195" s="321"/>
      <c r="B195" s="263" t="s">
        <v>71</v>
      </c>
      <c r="C195" s="322"/>
      <c r="D195" s="303"/>
      <c r="E195" s="303"/>
      <c r="F195" s="303"/>
      <c r="G195" s="303"/>
      <c r="H195" s="303"/>
      <c r="I195" s="303"/>
      <c r="J195" s="303"/>
      <c r="K195" s="303"/>
      <c r="L195" s="301">
        <v>9.93</v>
      </c>
      <c r="M195" s="263" t="s">
        <v>110</v>
      </c>
      <c r="N195" s="263"/>
      <c r="O195" s="266"/>
      <c r="P195" s="5"/>
    </row>
    <row r="196" spans="1:16" ht="15.6" x14ac:dyDescent="0.3">
      <c r="A196" s="321"/>
      <c r="B196" s="263" t="s">
        <v>72</v>
      </c>
      <c r="C196" s="322"/>
      <c r="D196" s="303"/>
      <c r="E196" s="303"/>
      <c r="F196" s="303"/>
      <c r="G196" s="303"/>
      <c r="H196" s="303"/>
      <c r="I196" s="303"/>
      <c r="J196" s="303"/>
      <c r="K196" s="303"/>
      <c r="L196" s="301">
        <v>4.45</v>
      </c>
      <c r="M196" s="263" t="s">
        <v>110</v>
      </c>
      <c r="N196" s="263"/>
      <c r="O196" s="266"/>
      <c r="P196" s="5"/>
    </row>
    <row r="197" spans="1:16" ht="15.6" x14ac:dyDescent="0.3">
      <c r="A197" s="321"/>
      <c r="B197" s="263" t="s">
        <v>73</v>
      </c>
      <c r="C197" s="322"/>
      <c r="D197" s="303"/>
      <c r="E197" s="303"/>
      <c r="F197" s="303"/>
      <c r="G197" s="303"/>
      <c r="H197" s="303"/>
      <c r="I197" s="303"/>
      <c r="J197" s="303"/>
      <c r="K197" s="303"/>
      <c r="L197" s="297">
        <f>+H56/F56</f>
        <v>6.163618185026172E-2</v>
      </c>
      <c r="M197" s="263"/>
      <c r="N197" s="263"/>
      <c r="O197" s="266"/>
      <c r="P197" s="5"/>
    </row>
    <row r="198" spans="1:16" ht="15.6" x14ac:dyDescent="0.3">
      <c r="A198" s="321"/>
      <c r="B198" s="263" t="s">
        <v>74</v>
      </c>
      <c r="C198" s="322"/>
      <c r="D198" s="303"/>
      <c r="E198" s="303"/>
      <c r="F198" s="303"/>
      <c r="G198" s="303"/>
      <c r="H198" s="303"/>
      <c r="I198" s="303"/>
      <c r="J198" s="303"/>
      <c r="K198" s="303"/>
      <c r="L198" s="297">
        <v>0.27029999999999998</v>
      </c>
      <c r="M198" s="263"/>
      <c r="N198" s="263"/>
      <c r="O198" s="266"/>
      <c r="P198" s="5"/>
    </row>
    <row r="199" spans="1:16" ht="15.6" x14ac:dyDescent="0.3">
      <c r="A199" s="225"/>
      <c r="B199" s="248"/>
      <c r="C199" s="248"/>
      <c r="D199" s="248"/>
      <c r="E199" s="248"/>
      <c r="F199" s="248"/>
      <c r="G199" s="248"/>
      <c r="H199" s="248"/>
      <c r="I199" s="248"/>
      <c r="J199" s="248"/>
      <c r="K199" s="248"/>
      <c r="L199" s="319"/>
      <c r="M199" s="248"/>
      <c r="N199" s="320"/>
      <c r="O199" s="248"/>
      <c r="P199" s="5"/>
    </row>
    <row r="200" spans="1:16" ht="15.6" x14ac:dyDescent="0.3">
      <c r="A200" s="377"/>
      <c r="B200" s="387" t="s">
        <v>75</v>
      </c>
      <c r="C200" s="389"/>
      <c r="D200" s="389"/>
      <c r="E200" s="389"/>
      <c r="F200" s="389"/>
      <c r="G200" s="389"/>
      <c r="H200" s="389"/>
      <c r="I200" s="389"/>
      <c r="J200" s="389"/>
      <c r="K200" s="389" t="s">
        <v>99</v>
      </c>
      <c r="L200" s="394" t="s">
        <v>106</v>
      </c>
      <c r="M200" s="361"/>
      <c r="N200" s="361"/>
      <c r="O200" s="361"/>
      <c r="P200" s="5"/>
    </row>
    <row r="201" spans="1:16" ht="15.6" x14ac:dyDescent="0.3">
      <c r="A201" s="330"/>
      <c r="B201" s="263" t="s">
        <v>76</v>
      </c>
      <c r="C201" s="264"/>
      <c r="D201" s="276"/>
      <c r="E201" s="276"/>
      <c r="F201" s="276"/>
      <c r="G201" s="276"/>
      <c r="H201" s="276"/>
      <c r="I201" s="276"/>
      <c r="J201" s="276"/>
      <c r="K201" s="276">
        <v>3</v>
      </c>
      <c r="L201" s="331">
        <v>239</v>
      </c>
      <c r="M201" s="263"/>
      <c r="N201" s="332"/>
      <c r="O201" s="333"/>
      <c r="P201" s="5"/>
    </row>
    <row r="202" spans="1:16" ht="15.6" x14ac:dyDescent="0.3">
      <c r="A202" s="330"/>
      <c r="B202" s="263" t="s">
        <v>136</v>
      </c>
      <c r="C202" s="264"/>
      <c r="D202" s="276"/>
      <c r="E202" s="276"/>
      <c r="F202" s="276"/>
      <c r="G202" s="276"/>
      <c r="H202" s="276"/>
      <c r="I202" s="276"/>
      <c r="J202" s="276"/>
      <c r="K202" s="334">
        <f>+J269</f>
        <v>0</v>
      </c>
      <c r="L202" s="331">
        <f>+L269</f>
        <v>0</v>
      </c>
      <c r="M202" s="263"/>
      <c r="N202" s="332"/>
      <c r="O202" s="333"/>
      <c r="P202" s="5"/>
    </row>
    <row r="203" spans="1:16" ht="15.6" x14ac:dyDescent="0.3">
      <c r="A203" s="330"/>
      <c r="B203" s="263" t="s">
        <v>77</v>
      </c>
      <c r="C203" s="264"/>
      <c r="D203" s="276"/>
      <c r="E203" s="276"/>
      <c r="F203" s="276"/>
      <c r="G203" s="276"/>
      <c r="H203" s="276"/>
      <c r="I203" s="276"/>
      <c r="J203" s="276"/>
      <c r="K203" s="334">
        <f>+J286</f>
        <v>1</v>
      </c>
      <c r="L203" s="331">
        <f>+L286</f>
        <v>93</v>
      </c>
      <c r="M203" s="263"/>
      <c r="N203" s="332"/>
      <c r="O203" s="333"/>
      <c r="P203" s="5"/>
    </row>
    <row r="204" spans="1:16" ht="15.6" x14ac:dyDescent="0.3">
      <c r="A204" s="330"/>
      <c r="B204" s="290" t="s">
        <v>78</v>
      </c>
      <c r="C204" s="335"/>
      <c r="D204" s="291"/>
      <c r="E204" s="291"/>
      <c r="F204" s="291"/>
      <c r="G204" s="291"/>
      <c r="H204" s="291"/>
      <c r="I204" s="291"/>
      <c r="J204" s="291"/>
      <c r="K204" s="291"/>
      <c r="L204" s="331">
        <v>0</v>
      </c>
      <c r="M204" s="291"/>
      <c r="N204" s="337"/>
      <c r="O204" s="338"/>
      <c r="P204" s="5"/>
    </row>
    <row r="205" spans="1:16" ht="15.6" x14ac:dyDescent="0.3">
      <c r="A205" s="330"/>
      <c r="B205" s="290" t="s">
        <v>79</v>
      </c>
      <c r="C205" s="335"/>
      <c r="D205" s="291"/>
      <c r="E205" s="291"/>
      <c r="F205" s="291"/>
      <c r="G205" s="291"/>
      <c r="H205" s="291"/>
      <c r="I205" s="291"/>
      <c r="J205" s="291"/>
      <c r="K205" s="291"/>
      <c r="L205" s="339" t="s">
        <v>107</v>
      </c>
      <c r="M205" s="291"/>
      <c r="N205" s="337"/>
      <c r="O205" s="338"/>
      <c r="P205" s="5"/>
    </row>
    <row r="206" spans="1:16" ht="15.6" x14ac:dyDescent="0.3">
      <c r="A206" s="340"/>
      <c r="B206" s="290" t="s">
        <v>80</v>
      </c>
      <c r="C206" s="341"/>
      <c r="D206" s="291"/>
      <c r="E206" s="291"/>
      <c r="F206" s="291"/>
      <c r="G206" s="291"/>
      <c r="H206" s="291"/>
      <c r="I206" s="291"/>
      <c r="J206" s="291"/>
      <c r="K206" s="291"/>
      <c r="L206" s="336"/>
      <c r="M206" s="291"/>
      <c r="N206" s="337"/>
      <c r="O206" s="342"/>
      <c r="P206" s="5"/>
    </row>
    <row r="207" spans="1:16" ht="15.6" x14ac:dyDescent="0.3">
      <c r="A207" s="340"/>
      <c r="B207" s="263" t="s">
        <v>81</v>
      </c>
      <c r="C207" s="263"/>
      <c r="D207" s="263"/>
      <c r="E207" s="263"/>
      <c r="F207" s="263"/>
      <c r="G207" s="263"/>
      <c r="H207" s="263"/>
      <c r="I207" s="263"/>
      <c r="J207" s="263"/>
      <c r="K207" s="276"/>
      <c r="L207" s="331">
        <f>N144</f>
        <v>-1</v>
      </c>
      <c r="M207" s="291"/>
      <c r="N207" s="337"/>
      <c r="O207" s="342"/>
      <c r="P207" s="5"/>
    </row>
    <row r="208" spans="1:16" ht="15.6" x14ac:dyDescent="0.3">
      <c r="A208" s="330"/>
      <c r="B208" s="263" t="s">
        <v>82</v>
      </c>
      <c r="C208" s="264"/>
      <c r="D208" s="263"/>
      <c r="E208" s="263"/>
      <c r="F208" s="263"/>
      <c r="G208" s="263"/>
      <c r="H208" s="263"/>
      <c r="I208" s="263"/>
      <c r="J208" s="263"/>
      <c r="K208" s="276"/>
      <c r="L208" s="331">
        <f>'May 17'!L208+L207</f>
        <v>216</v>
      </c>
      <c r="M208" s="291"/>
      <c r="N208" s="337"/>
      <c r="O208" s="342"/>
      <c r="P208" s="5"/>
    </row>
    <row r="209" spans="1:17" ht="15.6" x14ac:dyDescent="0.3">
      <c r="A209" s="340"/>
      <c r="B209" s="290" t="s">
        <v>253</v>
      </c>
      <c r="C209" s="341"/>
      <c r="D209" s="291"/>
      <c r="E209" s="291"/>
      <c r="F209" s="291"/>
      <c r="G209" s="291"/>
      <c r="H209" s="291"/>
      <c r="I209" s="291"/>
      <c r="J209" s="291"/>
      <c r="K209" s="294"/>
      <c r="L209" s="336"/>
      <c r="M209" s="291"/>
      <c r="N209" s="337"/>
      <c r="O209" s="342"/>
      <c r="P209" s="5"/>
    </row>
    <row r="210" spans="1:17" ht="15.6" x14ac:dyDescent="0.3">
      <c r="A210" s="346"/>
      <c r="B210" s="263" t="s">
        <v>250</v>
      </c>
      <c r="C210" s="263"/>
      <c r="D210" s="263"/>
      <c r="E210" s="263"/>
      <c r="F210" s="263"/>
      <c r="G210" s="263"/>
      <c r="H210" s="263"/>
      <c r="I210" s="263"/>
      <c r="J210" s="263"/>
      <c r="K210" s="276">
        <v>0</v>
      </c>
      <c r="L210" s="331">
        <v>0</v>
      </c>
      <c r="M210" s="291"/>
      <c r="N210" s="337"/>
      <c r="O210" s="342"/>
      <c r="P210" s="5"/>
    </row>
    <row r="211" spans="1:17" ht="15.6" x14ac:dyDescent="0.3">
      <c r="A211" s="347"/>
      <c r="B211" s="263" t="s">
        <v>83</v>
      </c>
      <c r="C211" s="300"/>
      <c r="D211" s="263"/>
      <c r="E211" s="263"/>
      <c r="F211" s="263"/>
      <c r="G211" s="263"/>
      <c r="H211" s="263"/>
      <c r="I211" s="263"/>
      <c r="J211" s="263"/>
      <c r="K211" s="263"/>
      <c r="L211" s="339">
        <v>0</v>
      </c>
      <c r="M211" s="291"/>
      <c r="N211" s="337"/>
      <c r="O211" s="342"/>
      <c r="P211" s="5"/>
    </row>
    <row r="212" spans="1:17" ht="15.6" x14ac:dyDescent="0.3">
      <c r="A212" s="347"/>
      <c r="B212" s="263" t="s">
        <v>84</v>
      </c>
      <c r="C212" s="300"/>
      <c r="D212" s="263"/>
      <c r="E212" s="263"/>
      <c r="F212" s="263"/>
      <c r="G212" s="263"/>
      <c r="H212" s="263"/>
      <c r="I212" s="263"/>
      <c r="J212" s="263"/>
      <c r="K212" s="263"/>
      <c r="L212" s="339">
        <v>0</v>
      </c>
      <c r="M212" s="291"/>
      <c r="N212" s="337"/>
      <c r="O212" s="342"/>
      <c r="P212" s="5"/>
    </row>
    <row r="213" spans="1:17" ht="15.6" x14ac:dyDescent="0.3">
      <c r="A213" s="330"/>
      <c r="B213" s="290" t="s">
        <v>177</v>
      </c>
      <c r="C213" s="348"/>
      <c r="D213" s="291"/>
      <c r="E213" s="291"/>
      <c r="F213" s="291"/>
      <c r="G213" s="291"/>
      <c r="H213" s="291"/>
      <c r="I213" s="291"/>
      <c r="J213" s="291"/>
      <c r="K213" s="291"/>
      <c r="L213" s="349"/>
      <c r="M213" s="291"/>
      <c r="N213" s="337"/>
      <c r="O213" s="342"/>
      <c r="P213" s="5"/>
    </row>
    <row r="214" spans="1:17" ht="15.6" x14ac:dyDescent="0.3">
      <c r="A214" s="347"/>
      <c r="B214" s="263" t="s">
        <v>250</v>
      </c>
      <c r="C214" s="300"/>
      <c r="D214" s="263"/>
      <c r="E214" s="263"/>
      <c r="F214" s="263"/>
      <c r="G214" s="263"/>
      <c r="H214" s="263"/>
      <c r="I214" s="263"/>
      <c r="J214" s="263"/>
      <c r="K214" s="276">
        <v>0</v>
      </c>
      <c r="L214" s="331">
        <v>0</v>
      </c>
      <c r="M214" s="263"/>
      <c r="N214" s="337"/>
      <c r="O214" s="342"/>
      <c r="P214" s="5"/>
    </row>
    <row r="215" spans="1:17" ht="15.6" x14ac:dyDescent="0.3">
      <c r="A215" s="347"/>
      <c r="B215" s="263" t="s">
        <v>178</v>
      </c>
      <c r="C215" s="300"/>
      <c r="D215" s="263"/>
      <c r="E215" s="263"/>
      <c r="F215" s="263"/>
      <c r="G215" s="263"/>
      <c r="H215" s="263"/>
      <c r="I215" s="263"/>
      <c r="J215" s="263"/>
      <c r="K215" s="263"/>
      <c r="L215" s="339">
        <v>0</v>
      </c>
      <c r="M215" s="263"/>
      <c r="N215" s="337"/>
      <c r="O215" s="342"/>
      <c r="P215" s="5"/>
    </row>
    <row r="216" spans="1:17" ht="15.6" x14ac:dyDescent="0.3">
      <c r="A216" s="330"/>
      <c r="B216" s="341"/>
      <c r="C216" s="348"/>
      <c r="D216" s="291"/>
      <c r="E216" s="291"/>
      <c r="F216" s="291"/>
      <c r="G216" s="291"/>
      <c r="H216" s="291"/>
      <c r="I216" s="291"/>
      <c r="J216" s="291"/>
      <c r="K216" s="291"/>
      <c r="L216" s="349"/>
      <c r="M216" s="291"/>
      <c r="N216" s="337"/>
      <c r="O216" s="342"/>
      <c r="P216" s="5"/>
    </row>
    <row r="217" spans="1:17" ht="15.6" x14ac:dyDescent="0.3">
      <c r="A217" s="330"/>
      <c r="B217" s="341"/>
      <c r="C217" s="348"/>
      <c r="D217" s="291"/>
      <c r="E217" s="291"/>
      <c r="F217" s="291"/>
      <c r="G217" s="291"/>
      <c r="H217" s="291"/>
      <c r="I217" s="291"/>
      <c r="J217" s="291"/>
      <c r="K217" s="291"/>
      <c r="L217" s="349"/>
      <c r="M217" s="291"/>
      <c r="N217" s="337"/>
      <c r="O217" s="342"/>
      <c r="P217" s="5"/>
    </row>
    <row r="218" spans="1:17" ht="17.399999999999999" x14ac:dyDescent="0.3">
      <c r="A218" s="330"/>
      <c r="B218" s="350" t="s">
        <v>238</v>
      </c>
      <c r="C218" s="348"/>
      <c r="D218" s="291"/>
      <c r="E218" s="291"/>
      <c r="F218" s="291"/>
      <c r="G218" s="291"/>
      <c r="H218" s="351" t="s">
        <v>237</v>
      </c>
      <c r="I218" s="291"/>
      <c r="J218" s="291"/>
      <c r="K218" s="291"/>
      <c r="L218" s="349"/>
      <c r="M218" s="291"/>
      <c r="N218" s="337"/>
      <c r="O218" s="342"/>
      <c r="P218" s="5"/>
    </row>
    <row r="219" spans="1:17" ht="17.399999999999999" x14ac:dyDescent="0.3">
      <c r="A219" s="324"/>
      <c r="B219" s="383"/>
      <c r="C219" s="326"/>
      <c r="D219" s="216"/>
      <c r="E219" s="216"/>
      <c r="F219" s="216"/>
      <c r="G219" s="216"/>
      <c r="H219" s="384"/>
      <c r="I219" s="216"/>
      <c r="J219" s="216"/>
      <c r="K219" s="216"/>
      <c r="L219" s="327"/>
      <c r="M219" s="216"/>
      <c r="N219" s="328"/>
      <c r="O219" s="329"/>
      <c r="P219" s="5"/>
    </row>
    <row r="220" spans="1:17" ht="15.6" x14ac:dyDescent="0.3">
      <c r="A220" s="360"/>
      <c r="B220" s="387" t="s">
        <v>258</v>
      </c>
      <c r="C220" s="389"/>
      <c r="D220" s="389"/>
      <c r="E220" s="389"/>
      <c r="F220" s="389"/>
      <c r="G220" s="389"/>
      <c r="H220" s="389"/>
      <c r="I220" s="389"/>
      <c r="J220" s="395" t="s">
        <v>99</v>
      </c>
      <c r="K220" s="389" t="s">
        <v>100</v>
      </c>
      <c r="L220" s="394" t="s">
        <v>108</v>
      </c>
      <c r="M220" s="389" t="s">
        <v>100</v>
      </c>
      <c r="N220" s="361"/>
      <c r="O220" s="387"/>
      <c r="P220" s="5"/>
    </row>
    <row r="221" spans="1:17" ht="15.6" x14ac:dyDescent="0.3">
      <c r="A221" s="262"/>
      <c r="B221" s="264" t="s">
        <v>85</v>
      </c>
      <c r="C221" s="354"/>
      <c r="D221" s="354"/>
      <c r="E221" s="354"/>
      <c r="F221" s="354"/>
      <c r="G221" s="354"/>
      <c r="H221" s="354"/>
      <c r="I221" s="354"/>
      <c r="J221" s="264">
        <f t="shared" ref="J221:J233" si="1">+J238+J255+J272</f>
        <v>417</v>
      </c>
      <c r="K221" s="355">
        <f t="shared" ref="K221:K233" si="2">J221/$J$235</f>
        <v>0.95423340961098402</v>
      </c>
      <c r="L221" s="265">
        <f t="shared" ref="L221:L233" si="3">+L238+L255+L272</f>
        <v>15225</v>
      </c>
      <c r="M221" s="355">
        <f t="shared" ref="M221:M233" si="4">L221/$L$235</f>
        <v>0.95424631776872448</v>
      </c>
      <c r="N221" s="332"/>
      <c r="O221" s="356"/>
      <c r="P221" s="5"/>
    </row>
    <row r="222" spans="1:17" ht="15.6" x14ac:dyDescent="0.3">
      <c r="A222" s="262"/>
      <c r="B222" s="264" t="s">
        <v>86</v>
      </c>
      <c r="C222" s="354"/>
      <c r="D222" s="354"/>
      <c r="E222" s="354"/>
      <c r="F222" s="354"/>
      <c r="G222" s="354"/>
      <c r="H222" s="354"/>
      <c r="I222" s="354"/>
      <c r="J222" s="264">
        <f t="shared" si="1"/>
        <v>3</v>
      </c>
      <c r="K222" s="355">
        <f t="shared" si="2"/>
        <v>6.8649885583524023E-3</v>
      </c>
      <c r="L222" s="265">
        <f t="shared" si="3"/>
        <v>189</v>
      </c>
      <c r="M222" s="355">
        <f t="shared" si="4"/>
        <v>1.1845816358508305E-2</v>
      </c>
      <c r="N222" s="332"/>
      <c r="O222" s="356"/>
      <c r="P222" s="5"/>
      <c r="Q222" s="104"/>
    </row>
    <row r="223" spans="1:17" ht="15.6" x14ac:dyDescent="0.3">
      <c r="A223" s="262"/>
      <c r="B223" s="264" t="s">
        <v>87</v>
      </c>
      <c r="C223" s="354"/>
      <c r="D223" s="354"/>
      <c r="E223" s="354"/>
      <c r="F223" s="354"/>
      <c r="G223" s="354"/>
      <c r="H223" s="354"/>
      <c r="I223" s="354"/>
      <c r="J223" s="264">
        <f t="shared" si="1"/>
        <v>3</v>
      </c>
      <c r="K223" s="355">
        <f t="shared" si="2"/>
        <v>6.8649885583524023E-3</v>
      </c>
      <c r="L223" s="265">
        <f t="shared" si="3"/>
        <v>84</v>
      </c>
      <c r="M223" s="355">
        <f t="shared" si="4"/>
        <v>5.2648072704481351E-3</v>
      </c>
      <c r="N223" s="332"/>
      <c r="O223" s="356"/>
      <c r="P223" s="5"/>
    </row>
    <row r="224" spans="1:17" ht="15.6" x14ac:dyDescent="0.3">
      <c r="A224" s="262"/>
      <c r="B224" s="264" t="s">
        <v>145</v>
      </c>
      <c r="C224" s="354"/>
      <c r="D224" s="354"/>
      <c r="E224" s="354"/>
      <c r="F224" s="354"/>
      <c r="G224" s="354"/>
      <c r="H224" s="354"/>
      <c r="I224" s="354"/>
      <c r="J224" s="264">
        <f t="shared" si="1"/>
        <v>2</v>
      </c>
      <c r="K224" s="355">
        <f t="shared" si="2"/>
        <v>4.5766590389016018E-3</v>
      </c>
      <c r="L224" s="265">
        <f t="shared" si="3"/>
        <v>67</v>
      </c>
      <c r="M224" s="355">
        <f t="shared" si="4"/>
        <v>4.1993105609526796E-3</v>
      </c>
      <c r="N224" s="332"/>
      <c r="O224" s="356"/>
      <c r="P224" s="5"/>
      <c r="Q224" s="104"/>
    </row>
    <row r="225" spans="1:17" ht="15.6" x14ac:dyDescent="0.3">
      <c r="A225" s="262"/>
      <c r="B225" s="264" t="s">
        <v>146</v>
      </c>
      <c r="C225" s="354"/>
      <c r="D225" s="354"/>
      <c r="E225" s="354"/>
      <c r="F225" s="354"/>
      <c r="G225" s="354"/>
      <c r="H225" s="354"/>
      <c r="I225" s="354"/>
      <c r="J225" s="264">
        <f t="shared" si="1"/>
        <v>2</v>
      </c>
      <c r="K225" s="355">
        <f t="shared" si="2"/>
        <v>4.5766590389016018E-3</v>
      </c>
      <c r="L225" s="265">
        <f t="shared" si="3"/>
        <v>136</v>
      </c>
      <c r="M225" s="355">
        <f t="shared" si="4"/>
        <v>8.5239736759636486E-3</v>
      </c>
      <c r="N225" s="332"/>
      <c r="O225" s="356"/>
      <c r="P225" s="5"/>
    </row>
    <row r="226" spans="1:17" ht="15.6" x14ac:dyDescent="0.3">
      <c r="A226" s="262"/>
      <c r="B226" s="264" t="s">
        <v>147</v>
      </c>
      <c r="C226" s="354"/>
      <c r="D226" s="354"/>
      <c r="E226" s="354"/>
      <c r="F226" s="354"/>
      <c r="G226" s="354"/>
      <c r="H226" s="354"/>
      <c r="I226" s="354"/>
      <c r="J226" s="264">
        <f t="shared" si="1"/>
        <v>0</v>
      </c>
      <c r="K226" s="355">
        <f t="shared" si="2"/>
        <v>0</v>
      </c>
      <c r="L226" s="265">
        <f t="shared" si="3"/>
        <v>0</v>
      </c>
      <c r="M226" s="355">
        <f t="shared" si="4"/>
        <v>0</v>
      </c>
      <c r="N226" s="332"/>
      <c r="O226" s="356"/>
      <c r="P226" s="5"/>
      <c r="Q226" s="104"/>
    </row>
    <row r="227" spans="1:17" ht="15.6" x14ac:dyDescent="0.3">
      <c r="A227" s="262"/>
      <c r="B227" s="264" t="s">
        <v>227</v>
      </c>
      <c r="C227" s="354"/>
      <c r="D227" s="354"/>
      <c r="E227" s="354"/>
      <c r="F227" s="354"/>
      <c r="G227" s="354"/>
      <c r="H227" s="354"/>
      <c r="I227" s="354"/>
      <c r="J227" s="264">
        <f t="shared" si="1"/>
        <v>2</v>
      </c>
      <c r="K227" s="355">
        <f t="shared" si="2"/>
        <v>4.5766590389016018E-3</v>
      </c>
      <c r="L227" s="265">
        <f t="shared" si="3"/>
        <v>120</v>
      </c>
      <c r="M227" s="355">
        <f t="shared" si="4"/>
        <v>7.521153243497336E-3</v>
      </c>
      <c r="N227" s="332"/>
      <c r="O227" s="356"/>
      <c r="P227" s="5"/>
    </row>
    <row r="228" spans="1:17" ht="15.6" x14ac:dyDescent="0.3">
      <c r="A228" s="262"/>
      <c r="B228" s="264" t="s">
        <v>228</v>
      </c>
      <c r="C228" s="354"/>
      <c r="D228" s="354"/>
      <c r="E228" s="354"/>
      <c r="F228" s="354"/>
      <c r="G228" s="354"/>
      <c r="H228" s="354"/>
      <c r="I228" s="354"/>
      <c r="J228" s="264">
        <f t="shared" si="1"/>
        <v>0</v>
      </c>
      <c r="K228" s="355">
        <f t="shared" si="2"/>
        <v>0</v>
      </c>
      <c r="L228" s="265">
        <f t="shared" si="3"/>
        <v>0</v>
      </c>
      <c r="M228" s="355">
        <f t="shared" si="4"/>
        <v>0</v>
      </c>
      <c r="N228" s="332"/>
      <c r="O228" s="356"/>
      <c r="P228" s="5"/>
      <c r="Q228" s="104"/>
    </row>
    <row r="229" spans="1:17" ht="15.6" x14ac:dyDescent="0.3">
      <c r="A229" s="262"/>
      <c r="B229" s="264" t="s">
        <v>229</v>
      </c>
      <c r="C229" s="354"/>
      <c r="D229" s="354"/>
      <c r="E229" s="354"/>
      <c r="F229" s="354"/>
      <c r="G229" s="354"/>
      <c r="H229" s="354"/>
      <c r="I229" s="354"/>
      <c r="J229" s="264">
        <f t="shared" si="1"/>
        <v>1</v>
      </c>
      <c r="K229" s="355">
        <f t="shared" si="2"/>
        <v>2.2883295194508009E-3</v>
      </c>
      <c r="L229" s="265">
        <f t="shared" si="3"/>
        <v>16</v>
      </c>
      <c r="M229" s="355">
        <f t="shared" si="4"/>
        <v>1.0028204324663114E-3</v>
      </c>
      <c r="N229" s="332"/>
      <c r="O229" s="356"/>
      <c r="P229" s="5"/>
      <c r="Q229" s="104"/>
    </row>
    <row r="230" spans="1:17" ht="15.6" x14ac:dyDescent="0.3">
      <c r="A230" s="262"/>
      <c r="B230" s="264" t="s">
        <v>230</v>
      </c>
      <c r="C230" s="354"/>
      <c r="D230" s="354"/>
      <c r="E230" s="354"/>
      <c r="F230" s="354"/>
      <c r="G230" s="354"/>
      <c r="H230" s="354"/>
      <c r="I230" s="354"/>
      <c r="J230" s="264">
        <f t="shared" si="1"/>
        <v>1</v>
      </c>
      <c r="K230" s="355">
        <f t="shared" si="2"/>
        <v>2.2883295194508009E-3</v>
      </c>
      <c r="L230" s="265">
        <f t="shared" si="3"/>
        <v>14</v>
      </c>
      <c r="M230" s="355">
        <f t="shared" si="4"/>
        <v>8.7746787840802258E-4</v>
      </c>
      <c r="N230" s="332"/>
      <c r="O230" s="356"/>
      <c r="P230" s="5"/>
      <c r="Q230" s="104"/>
    </row>
    <row r="231" spans="1:17" ht="15.6" x14ac:dyDescent="0.3">
      <c r="A231" s="262"/>
      <c r="B231" s="264" t="s">
        <v>231</v>
      </c>
      <c r="C231" s="354"/>
      <c r="D231" s="354"/>
      <c r="E231" s="354"/>
      <c r="F231" s="354"/>
      <c r="G231" s="354"/>
      <c r="H231" s="354"/>
      <c r="I231" s="354"/>
      <c r="J231" s="264">
        <f t="shared" si="1"/>
        <v>0</v>
      </c>
      <c r="K231" s="355">
        <f t="shared" si="2"/>
        <v>0</v>
      </c>
      <c r="L231" s="265">
        <f t="shared" si="3"/>
        <v>0</v>
      </c>
      <c r="M231" s="355">
        <f t="shared" si="4"/>
        <v>0</v>
      </c>
      <c r="N231" s="332"/>
      <c r="O231" s="356"/>
      <c r="P231" s="5"/>
      <c r="Q231" s="104"/>
    </row>
    <row r="232" spans="1:17" ht="15.6" x14ac:dyDescent="0.3">
      <c r="A232" s="262"/>
      <c r="B232" s="264" t="s">
        <v>232</v>
      </c>
      <c r="C232" s="354"/>
      <c r="D232" s="354"/>
      <c r="E232" s="354"/>
      <c r="F232" s="354"/>
      <c r="G232" s="354"/>
      <c r="H232" s="354"/>
      <c r="I232" s="354"/>
      <c r="J232" s="264">
        <f t="shared" si="1"/>
        <v>1</v>
      </c>
      <c r="K232" s="355">
        <f t="shared" si="2"/>
        <v>2.2883295194508009E-3</v>
      </c>
      <c r="L232" s="265">
        <f t="shared" si="3"/>
        <v>52</v>
      </c>
      <c r="M232" s="355">
        <f t="shared" si="4"/>
        <v>3.2591664055155122E-3</v>
      </c>
      <c r="N232" s="332"/>
      <c r="O232" s="356"/>
      <c r="P232" s="5"/>
      <c r="Q232" s="104"/>
    </row>
    <row r="233" spans="1:17" ht="15.6" x14ac:dyDescent="0.3">
      <c r="A233" s="262"/>
      <c r="B233" s="264" t="s">
        <v>233</v>
      </c>
      <c r="C233" s="354"/>
      <c r="D233" s="354"/>
      <c r="E233" s="354"/>
      <c r="F233" s="354"/>
      <c r="G233" s="354"/>
      <c r="H233" s="354"/>
      <c r="I233" s="354"/>
      <c r="J233" s="264">
        <f t="shared" si="1"/>
        <v>5</v>
      </c>
      <c r="K233" s="355">
        <f t="shared" si="2"/>
        <v>1.1441647597254004E-2</v>
      </c>
      <c r="L233" s="265">
        <f t="shared" si="3"/>
        <v>52</v>
      </c>
      <c r="M233" s="355">
        <f t="shared" si="4"/>
        <v>3.2591664055155122E-3</v>
      </c>
      <c r="N233" s="332"/>
      <c r="O233" s="356"/>
      <c r="P233" s="5"/>
      <c r="Q233" s="104"/>
    </row>
    <row r="234" spans="1:17" ht="15.6" x14ac:dyDescent="0.3">
      <c r="A234" s="262"/>
      <c r="B234" s="264"/>
      <c r="C234" s="354"/>
      <c r="D234" s="354"/>
      <c r="E234" s="354"/>
      <c r="F234" s="354"/>
      <c r="G234" s="354"/>
      <c r="H234" s="354"/>
      <c r="I234" s="354"/>
      <c r="J234" s="264"/>
      <c r="K234" s="355"/>
      <c r="L234" s="265"/>
      <c r="M234" s="355"/>
      <c r="N234" s="332"/>
      <c r="O234" s="356"/>
      <c r="P234" s="5"/>
      <c r="Q234" s="104"/>
    </row>
    <row r="235" spans="1:17" ht="15.6" x14ac:dyDescent="0.3">
      <c r="A235" s="262"/>
      <c r="B235" s="263"/>
      <c r="C235" s="263"/>
      <c r="D235" s="357"/>
      <c r="E235" s="357"/>
      <c r="F235" s="357"/>
      <c r="G235" s="357"/>
      <c r="H235" s="357"/>
      <c r="I235" s="357"/>
      <c r="J235" s="264">
        <f>SUM(J221:J234)</f>
        <v>437</v>
      </c>
      <c r="K235" s="355">
        <f>SUM(K221:K234)</f>
        <v>0.99999999999999989</v>
      </c>
      <c r="L235" s="265">
        <f>SUM(L221:L234)</f>
        <v>15955</v>
      </c>
      <c r="M235" s="355">
        <f>SUM(M221:M234)</f>
        <v>1</v>
      </c>
      <c r="N235" s="263"/>
      <c r="O235" s="266"/>
      <c r="P235" s="5"/>
    </row>
    <row r="236" spans="1:17" ht="15.6" x14ac:dyDescent="0.3">
      <c r="A236" s="324"/>
      <c r="B236" s="325"/>
      <c r="C236" s="326"/>
      <c r="D236" s="216"/>
      <c r="E236" s="216"/>
      <c r="F236" s="216"/>
      <c r="G236" s="216"/>
      <c r="H236" s="216"/>
      <c r="I236" s="216"/>
      <c r="J236" s="216"/>
      <c r="K236" s="216"/>
      <c r="L236" s="327"/>
      <c r="M236" s="216"/>
      <c r="N236" s="328"/>
      <c r="O236" s="329"/>
      <c r="P236" s="5"/>
    </row>
    <row r="237" spans="1:17" ht="15.6" x14ac:dyDescent="0.3">
      <c r="A237" s="360"/>
      <c r="B237" s="387" t="s">
        <v>149</v>
      </c>
      <c r="C237" s="389"/>
      <c r="D237" s="389"/>
      <c r="E237" s="389"/>
      <c r="F237" s="389"/>
      <c r="G237" s="389"/>
      <c r="H237" s="389"/>
      <c r="I237" s="389"/>
      <c r="J237" s="395" t="s">
        <v>99</v>
      </c>
      <c r="K237" s="389" t="s">
        <v>100</v>
      </c>
      <c r="L237" s="394" t="s">
        <v>108</v>
      </c>
      <c r="M237" s="389" t="s">
        <v>100</v>
      </c>
      <c r="N237" s="361"/>
      <c r="O237" s="387"/>
      <c r="P237" s="5"/>
    </row>
    <row r="238" spans="1:17" ht="15.6" x14ac:dyDescent="0.3">
      <c r="A238" s="262"/>
      <c r="B238" s="264" t="s">
        <v>85</v>
      </c>
      <c r="C238" s="354"/>
      <c r="D238" s="354"/>
      <c r="E238" s="354"/>
      <c r="F238" s="354"/>
      <c r="G238" s="354"/>
      <c r="H238" s="354"/>
      <c r="I238" s="354"/>
      <c r="J238" s="264">
        <v>417</v>
      </c>
      <c r="K238" s="355">
        <f t="shared" ref="K238:K250" si="5">J238/$J$252</f>
        <v>0.95642201834862384</v>
      </c>
      <c r="L238" s="265">
        <v>15225</v>
      </c>
      <c r="M238" s="355">
        <f t="shared" ref="M238:M250" si="6">L238/$L$252</f>
        <v>0.95984112974404234</v>
      </c>
      <c r="N238" s="332"/>
      <c r="O238" s="356"/>
      <c r="P238" s="5"/>
    </row>
    <row r="239" spans="1:17" ht="15.6" x14ac:dyDescent="0.3">
      <c r="A239" s="262"/>
      <c r="B239" s="264" t="s">
        <v>86</v>
      </c>
      <c r="C239" s="354"/>
      <c r="D239" s="354"/>
      <c r="E239" s="354"/>
      <c r="F239" s="354"/>
      <c r="G239" s="354"/>
      <c r="H239" s="354"/>
      <c r="I239" s="354"/>
      <c r="J239" s="264">
        <v>3</v>
      </c>
      <c r="K239" s="355">
        <f t="shared" si="5"/>
        <v>6.8807339449541288E-3</v>
      </c>
      <c r="L239" s="265">
        <v>189</v>
      </c>
      <c r="M239" s="355">
        <f t="shared" si="6"/>
        <v>1.1915269196822596E-2</v>
      </c>
      <c r="N239" s="332"/>
      <c r="O239" s="356"/>
      <c r="P239" s="5"/>
      <c r="Q239" s="104"/>
    </row>
    <row r="240" spans="1:17" ht="15.6" x14ac:dyDescent="0.3">
      <c r="A240" s="262"/>
      <c r="B240" s="264" t="s">
        <v>87</v>
      </c>
      <c r="C240" s="354"/>
      <c r="D240" s="354"/>
      <c r="E240" s="354"/>
      <c r="F240" s="354"/>
      <c r="G240" s="354"/>
      <c r="H240" s="354"/>
      <c r="I240" s="354"/>
      <c r="J240" s="264">
        <v>3</v>
      </c>
      <c r="K240" s="355">
        <f t="shared" si="5"/>
        <v>6.8807339449541288E-3</v>
      </c>
      <c r="L240" s="265">
        <v>84</v>
      </c>
      <c r="M240" s="355">
        <f t="shared" si="6"/>
        <v>5.2956751985878204E-3</v>
      </c>
      <c r="N240" s="332"/>
      <c r="O240" s="356"/>
      <c r="P240" s="5"/>
    </row>
    <row r="241" spans="1:17" ht="15.6" x14ac:dyDescent="0.3">
      <c r="A241" s="262"/>
      <c r="B241" s="264" t="s">
        <v>145</v>
      </c>
      <c r="C241" s="354"/>
      <c r="D241" s="354"/>
      <c r="E241" s="354"/>
      <c r="F241" s="354"/>
      <c r="G241" s="354"/>
      <c r="H241" s="354"/>
      <c r="I241" s="354"/>
      <c r="J241" s="264">
        <v>2</v>
      </c>
      <c r="K241" s="355">
        <f t="shared" si="5"/>
        <v>4.5871559633027525E-3</v>
      </c>
      <c r="L241" s="265">
        <v>67</v>
      </c>
      <c r="M241" s="355">
        <f t="shared" si="6"/>
        <v>4.2239314083974281E-3</v>
      </c>
      <c r="N241" s="332"/>
      <c r="O241" s="356"/>
      <c r="P241" s="5"/>
      <c r="Q241" s="104"/>
    </row>
    <row r="242" spans="1:17" ht="15.6" x14ac:dyDescent="0.3">
      <c r="A242" s="262"/>
      <c r="B242" s="264" t="s">
        <v>146</v>
      </c>
      <c r="C242" s="354"/>
      <c r="D242" s="354"/>
      <c r="E242" s="354"/>
      <c r="F242" s="354"/>
      <c r="G242" s="354"/>
      <c r="H242" s="354"/>
      <c r="I242" s="354"/>
      <c r="J242" s="264">
        <v>1</v>
      </c>
      <c r="K242" s="355">
        <f t="shared" si="5"/>
        <v>2.2935779816513763E-3</v>
      </c>
      <c r="L242" s="265">
        <v>43</v>
      </c>
      <c r="M242" s="355">
        <f t="shared" si="6"/>
        <v>2.7108813516580508E-3</v>
      </c>
      <c r="N242" s="332"/>
      <c r="O242" s="356"/>
      <c r="P242" s="5"/>
    </row>
    <row r="243" spans="1:17" ht="15.6" x14ac:dyDescent="0.3">
      <c r="A243" s="262"/>
      <c r="B243" s="264" t="s">
        <v>147</v>
      </c>
      <c r="C243" s="354"/>
      <c r="D243" s="354"/>
      <c r="E243" s="354"/>
      <c r="F243" s="354"/>
      <c r="G243" s="354"/>
      <c r="H243" s="354"/>
      <c r="I243" s="354"/>
      <c r="J243" s="264">
        <v>0</v>
      </c>
      <c r="K243" s="355">
        <f t="shared" si="5"/>
        <v>0</v>
      </c>
      <c r="L243" s="265">
        <v>0</v>
      </c>
      <c r="M243" s="355">
        <f t="shared" si="6"/>
        <v>0</v>
      </c>
      <c r="N243" s="332"/>
      <c r="O243" s="356"/>
      <c r="P243" s="5"/>
      <c r="Q243" s="104"/>
    </row>
    <row r="244" spans="1:17" ht="15.6" x14ac:dyDescent="0.3">
      <c r="A244" s="262"/>
      <c r="B244" s="264" t="s">
        <v>227</v>
      </c>
      <c r="C244" s="354"/>
      <c r="D244" s="354"/>
      <c r="E244" s="354"/>
      <c r="F244" s="354"/>
      <c r="G244" s="354"/>
      <c r="H244" s="354"/>
      <c r="I244" s="354"/>
      <c r="J244" s="264">
        <v>2</v>
      </c>
      <c r="K244" s="355">
        <f t="shared" si="5"/>
        <v>4.5871559633027525E-3</v>
      </c>
      <c r="L244" s="265">
        <v>120</v>
      </c>
      <c r="M244" s="355">
        <f t="shared" si="6"/>
        <v>7.5652502836968854E-3</v>
      </c>
      <c r="N244" s="332"/>
      <c r="O244" s="356"/>
      <c r="P244" s="5"/>
    </row>
    <row r="245" spans="1:17" ht="15.6" x14ac:dyDescent="0.3">
      <c r="A245" s="262"/>
      <c r="B245" s="264" t="s">
        <v>228</v>
      </c>
      <c r="C245" s="354"/>
      <c r="D245" s="354"/>
      <c r="E245" s="354"/>
      <c r="F245" s="354"/>
      <c r="G245" s="354"/>
      <c r="H245" s="354"/>
      <c r="I245" s="354"/>
      <c r="J245" s="264">
        <v>0</v>
      </c>
      <c r="K245" s="355">
        <f t="shared" si="5"/>
        <v>0</v>
      </c>
      <c r="L245" s="265">
        <v>0</v>
      </c>
      <c r="M245" s="355">
        <f t="shared" si="6"/>
        <v>0</v>
      </c>
      <c r="N245" s="332"/>
      <c r="O245" s="356"/>
      <c r="P245" s="5"/>
      <c r="Q245" s="104"/>
    </row>
    <row r="246" spans="1:17" ht="15.6" x14ac:dyDescent="0.3">
      <c r="A246" s="262"/>
      <c r="B246" s="264" t="s">
        <v>229</v>
      </c>
      <c r="C246" s="354"/>
      <c r="D246" s="354"/>
      <c r="E246" s="354"/>
      <c r="F246" s="354"/>
      <c r="G246" s="354"/>
      <c r="H246" s="354"/>
      <c r="I246" s="354"/>
      <c r="J246" s="264">
        <v>1</v>
      </c>
      <c r="K246" s="355">
        <f t="shared" si="5"/>
        <v>2.2935779816513763E-3</v>
      </c>
      <c r="L246" s="265">
        <v>16</v>
      </c>
      <c r="M246" s="355">
        <f t="shared" si="6"/>
        <v>1.0087000378262514E-3</v>
      </c>
      <c r="N246" s="332"/>
      <c r="O246" s="356"/>
      <c r="P246" s="5"/>
      <c r="Q246" s="104"/>
    </row>
    <row r="247" spans="1:17" ht="15.6" x14ac:dyDescent="0.3">
      <c r="A247" s="262"/>
      <c r="B247" s="264" t="s">
        <v>230</v>
      </c>
      <c r="C247" s="354"/>
      <c r="D247" s="354"/>
      <c r="E247" s="354"/>
      <c r="F247" s="354"/>
      <c r="G247" s="354"/>
      <c r="H247" s="354"/>
      <c r="I247" s="354"/>
      <c r="J247" s="264">
        <v>1</v>
      </c>
      <c r="K247" s="355">
        <f t="shared" si="5"/>
        <v>2.2935779816513763E-3</v>
      </c>
      <c r="L247" s="265">
        <v>14</v>
      </c>
      <c r="M247" s="355">
        <f t="shared" si="6"/>
        <v>8.8261253309797002E-4</v>
      </c>
      <c r="N247" s="332"/>
      <c r="O247" s="356"/>
      <c r="P247" s="5"/>
      <c r="Q247" s="104"/>
    </row>
    <row r="248" spans="1:17" ht="15.6" x14ac:dyDescent="0.3">
      <c r="A248" s="262"/>
      <c r="B248" s="264" t="s">
        <v>231</v>
      </c>
      <c r="C248" s="354"/>
      <c r="D248" s="354"/>
      <c r="E248" s="354"/>
      <c r="F248" s="354"/>
      <c r="G248" s="354"/>
      <c r="H248" s="354"/>
      <c r="I248" s="354"/>
      <c r="J248" s="264">
        <v>0</v>
      </c>
      <c r="K248" s="355">
        <f t="shared" si="5"/>
        <v>0</v>
      </c>
      <c r="L248" s="265">
        <v>0</v>
      </c>
      <c r="M248" s="355">
        <f t="shared" si="6"/>
        <v>0</v>
      </c>
      <c r="N248" s="332"/>
      <c r="O248" s="356"/>
      <c r="P248" s="5"/>
      <c r="Q248" s="104"/>
    </row>
    <row r="249" spans="1:17" ht="15.6" x14ac:dyDescent="0.3">
      <c r="A249" s="262"/>
      <c r="B249" s="264" t="s">
        <v>232</v>
      </c>
      <c r="C249" s="354"/>
      <c r="D249" s="354"/>
      <c r="E249" s="354"/>
      <c r="F249" s="354"/>
      <c r="G249" s="354"/>
      <c r="H249" s="354"/>
      <c r="I249" s="354"/>
      <c r="J249" s="264">
        <v>1</v>
      </c>
      <c r="K249" s="355">
        <f t="shared" si="5"/>
        <v>2.2935779816513763E-3</v>
      </c>
      <c r="L249" s="265">
        <v>52</v>
      </c>
      <c r="M249" s="355">
        <f t="shared" si="6"/>
        <v>3.2782751229353171E-3</v>
      </c>
      <c r="N249" s="397"/>
      <c r="O249" s="356"/>
      <c r="P249" s="5"/>
      <c r="Q249" s="104"/>
    </row>
    <row r="250" spans="1:17" ht="15.6" x14ac:dyDescent="0.3">
      <c r="A250" s="262"/>
      <c r="B250" s="264" t="s">
        <v>233</v>
      </c>
      <c r="C250" s="354"/>
      <c r="D250" s="354"/>
      <c r="E250" s="354"/>
      <c r="F250" s="354"/>
      <c r="G250" s="354"/>
      <c r="H250" s="354"/>
      <c r="I250" s="354"/>
      <c r="J250" s="264">
        <v>5</v>
      </c>
      <c r="K250" s="355">
        <f t="shared" si="5"/>
        <v>1.1467889908256881E-2</v>
      </c>
      <c r="L250" s="265">
        <v>52</v>
      </c>
      <c r="M250" s="355">
        <f t="shared" si="6"/>
        <v>3.2782751229353171E-3</v>
      </c>
      <c r="N250" s="397"/>
      <c r="O250" s="356"/>
      <c r="P250" s="5"/>
      <c r="Q250" s="104"/>
    </row>
    <row r="251" spans="1:17" ht="18" customHeight="1" x14ac:dyDescent="0.3">
      <c r="A251" s="262"/>
      <c r="B251" s="264"/>
      <c r="C251" s="354"/>
      <c r="D251" s="354"/>
      <c r="E251" s="354"/>
      <c r="F251" s="354"/>
      <c r="G251" s="354"/>
      <c r="H251" s="354"/>
      <c r="I251" s="354"/>
      <c r="J251" s="264"/>
      <c r="K251" s="355"/>
      <c r="L251" s="265"/>
      <c r="M251" s="355"/>
      <c r="N251" s="332"/>
      <c r="O251" s="356"/>
      <c r="P251" s="5"/>
      <c r="Q251" s="104"/>
    </row>
    <row r="252" spans="1:17" ht="15.6" x14ac:dyDescent="0.3">
      <c r="A252" s="262"/>
      <c r="B252" s="263"/>
      <c r="C252" s="263"/>
      <c r="D252" s="357"/>
      <c r="E252" s="357"/>
      <c r="F252" s="357"/>
      <c r="G252" s="357"/>
      <c r="H252" s="357"/>
      <c r="I252" s="357"/>
      <c r="J252" s="264">
        <f>SUM(J238:J251)</f>
        <v>436</v>
      </c>
      <c r="K252" s="355">
        <f>SUM(K238:K251)</f>
        <v>1.0000000000000002</v>
      </c>
      <c r="L252" s="265">
        <f>SUM(L238:L251)</f>
        <v>15862</v>
      </c>
      <c r="M252" s="355">
        <f>SUM(M238:M251)</f>
        <v>1</v>
      </c>
      <c r="N252" s="263"/>
      <c r="O252" s="266"/>
      <c r="P252" s="5"/>
    </row>
    <row r="253" spans="1:17" ht="15.6" x14ac:dyDescent="0.3">
      <c r="A253" s="188"/>
      <c r="B253" s="248"/>
      <c r="C253" s="248"/>
      <c r="D253" s="352"/>
      <c r="E253" s="352"/>
      <c r="F253" s="352"/>
      <c r="G253" s="352"/>
      <c r="H253" s="352"/>
      <c r="I253" s="352"/>
      <c r="J253" s="308"/>
      <c r="K253" s="353"/>
      <c r="L253" s="249"/>
      <c r="M253" s="353"/>
      <c r="N253" s="248"/>
      <c r="O253" s="248"/>
      <c r="P253" s="5"/>
    </row>
    <row r="254" spans="1:17" ht="15.6" x14ac:dyDescent="0.3">
      <c r="A254" s="360"/>
      <c r="B254" s="387" t="s">
        <v>204</v>
      </c>
      <c r="C254" s="389"/>
      <c r="D254" s="389"/>
      <c r="E254" s="389"/>
      <c r="F254" s="389"/>
      <c r="G254" s="389"/>
      <c r="H254" s="389"/>
      <c r="I254" s="389"/>
      <c r="J254" s="395" t="s">
        <v>99</v>
      </c>
      <c r="K254" s="389" t="s">
        <v>100</v>
      </c>
      <c r="L254" s="394" t="s">
        <v>108</v>
      </c>
      <c r="M254" s="389" t="s">
        <v>100</v>
      </c>
      <c r="N254" s="379"/>
      <c r="O254" s="380"/>
      <c r="P254" s="5"/>
    </row>
    <row r="255" spans="1:17" ht="15.6" x14ac:dyDescent="0.3">
      <c r="A255" s="262"/>
      <c r="B255" s="264" t="s">
        <v>85</v>
      </c>
      <c r="C255" s="354"/>
      <c r="D255" s="354"/>
      <c r="E255" s="354"/>
      <c r="F255" s="354"/>
      <c r="G255" s="354"/>
      <c r="H255" s="354"/>
      <c r="I255" s="354"/>
      <c r="J255" s="264">
        <v>0</v>
      </c>
      <c r="K255" s="355">
        <v>0</v>
      </c>
      <c r="L255" s="265">
        <v>0</v>
      </c>
      <c r="M255" s="355">
        <v>0</v>
      </c>
      <c r="N255" s="263"/>
      <c r="O255" s="266"/>
      <c r="P255" s="5"/>
    </row>
    <row r="256" spans="1:17" ht="15.6" x14ac:dyDescent="0.3">
      <c r="A256" s="262"/>
      <c r="B256" s="264" t="s">
        <v>86</v>
      </c>
      <c r="C256" s="354"/>
      <c r="D256" s="354"/>
      <c r="E256" s="354"/>
      <c r="F256" s="354"/>
      <c r="G256" s="354"/>
      <c r="H256" s="354"/>
      <c r="I256" s="354"/>
      <c r="J256" s="264">
        <v>0</v>
      </c>
      <c r="K256" s="355">
        <v>0</v>
      </c>
      <c r="L256" s="265">
        <v>0</v>
      </c>
      <c r="M256" s="355">
        <v>0</v>
      </c>
      <c r="N256" s="263"/>
      <c r="O256" s="266"/>
      <c r="P256" s="5"/>
    </row>
    <row r="257" spans="1:16" ht="15.6" x14ac:dyDescent="0.3">
      <c r="A257" s="262"/>
      <c r="B257" s="264" t="s">
        <v>87</v>
      </c>
      <c r="C257" s="354"/>
      <c r="D257" s="354"/>
      <c r="E257" s="354"/>
      <c r="F257" s="354"/>
      <c r="G257" s="354"/>
      <c r="H257" s="354"/>
      <c r="I257" s="354"/>
      <c r="J257" s="264">
        <v>0</v>
      </c>
      <c r="K257" s="355">
        <v>0</v>
      </c>
      <c r="L257" s="265">
        <v>0</v>
      </c>
      <c r="M257" s="355">
        <v>0</v>
      </c>
      <c r="N257" s="263"/>
      <c r="O257" s="266"/>
      <c r="P257" s="5"/>
    </row>
    <row r="258" spans="1:16" ht="15.6" x14ac:dyDescent="0.3">
      <c r="A258" s="262"/>
      <c r="B258" s="264" t="s">
        <v>145</v>
      </c>
      <c r="C258" s="354"/>
      <c r="D258" s="354"/>
      <c r="E258" s="354"/>
      <c r="F258" s="354"/>
      <c r="G258" s="354"/>
      <c r="H258" s="354"/>
      <c r="I258" s="354"/>
      <c r="J258" s="264">
        <v>0</v>
      </c>
      <c r="K258" s="355">
        <v>0</v>
      </c>
      <c r="L258" s="265">
        <v>0</v>
      </c>
      <c r="M258" s="355">
        <v>0</v>
      </c>
      <c r="N258" s="263"/>
      <c r="O258" s="266"/>
      <c r="P258" s="5"/>
    </row>
    <row r="259" spans="1:16" ht="15.6" x14ac:dyDescent="0.3">
      <c r="A259" s="262"/>
      <c r="B259" s="264" t="s">
        <v>146</v>
      </c>
      <c r="C259" s="354"/>
      <c r="D259" s="354"/>
      <c r="E259" s="354"/>
      <c r="F259" s="354"/>
      <c r="G259" s="354"/>
      <c r="H259" s="354"/>
      <c r="I259" s="354"/>
      <c r="J259" s="264">
        <v>0</v>
      </c>
      <c r="K259" s="355">
        <v>0</v>
      </c>
      <c r="L259" s="265">
        <v>0</v>
      </c>
      <c r="M259" s="355">
        <v>0</v>
      </c>
      <c r="N259" s="263"/>
      <c r="O259" s="266"/>
      <c r="P259" s="5"/>
    </row>
    <row r="260" spans="1:16" ht="15.6" x14ac:dyDescent="0.3">
      <c r="A260" s="262"/>
      <c r="B260" s="264" t="s">
        <v>147</v>
      </c>
      <c r="C260" s="354"/>
      <c r="D260" s="354"/>
      <c r="E260" s="354"/>
      <c r="F260" s="354"/>
      <c r="G260" s="354"/>
      <c r="H260" s="354"/>
      <c r="I260" s="354"/>
      <c r="J260" s="264">
        <v>0</v>
      </c>
      <c r="K260" s="355">
        <v>0</v>
      </c>
      <c r="L260" s="265">
        <v>0</v>
      </c>
      <c r="M260" s="355">
        <v>0</v>
      </c>
      <c r="N260" s="263"/>
      <c r="O260" s="266"/>
      <c r="P260" s="5"/>
    </row>
    <row r="261" spans="1:16" ht="15.6" x14ac:dyDescent="0.3">
      <c r="A261" s="262"/>
      <c r="B261" s="264" t="s">
        <v>227</v>
      </c>
      <c r="C261" s="354"/>
      <c r="D261" s="354"/>
      <c r="E261" s="354"/>
      <c r="F261" s="354"/>
      <c r="G261" s="354"/>
      <c r="H261" s="354"/>
      <c r="I261" s="354"/>
      <c r="J261" s="264">
        <v>0</v>
      </c>
      <c r="K261" s="355">
        <v>0</v>
      </c>
      <c r="L261" s="265">
        <v>0</v>
      </c>
      <c r="M261" s="355">
        <v>0</v>
      </c>
      <c r="N261" s="263"/>
      <c r="O261" s="266"/>
      <c r="P261" s="5"/>
    </row>
    <row r="262" spans="1:16" ht="15.6" x14ac:dyDescent="0.3">
      <c r="A262" s="262"/>
      <c r="B262" s="264" t="s">
        <v>228</v>
      </c>
      <c r="C262" s="354"/>
      <c r="D262" s="354"/>
      <c r="E262" s="354"/>
      <c r="F262" s="354"/>
      <c r="G262" s="354"/>
      <c r="H262" s="354"/>
      <c r="I262" s="354"/>
      <c r="J262" s="264">
        <v>0</v>
      </c>
      <c r="K262" s="355">
        <v>0</v>
      </c>
      <c r="L262" s="265">
        <v>0</v>
      </c>
      <c r="M262" s="355">
        <v>0</v>
      </c>
      <c r="N262" s="263"/>
      <c r="O262" s="266"/>
      <c r="P262" s="5"/>
    </row>
    <row r="263" spans="1:16" ht="15.6" x14ac:dyDescent="0.3">
      <c r="A263" s="262"/>
      <c r="B263" s="264" t="s">
        <v>229</v>
      </c>
      <c r="C263" s="354"/>
      <c r="D263" s="354"/>
      <c r="E263" s="354"/>
      <c r="F263" s="354"/>
      <c r="G263" s="354"/>
      <c r="H263" s="354"/>
      <c r="I263" s="354"/>
      <c r="J263" s="264">
        <v>0</v>
      </c>
      <c r="K263" s="355">
        <v>0</v>
      </c>
      <c r="L263" s="265">
        <v>0</v>
      </c>
      <c r="M263" s="355">
        <v>0</v>
      </c>
      <c r="N263" s="263"/>
      <c r="O263" s="266"/>
      <c r="P263" s="5"/>
    </row>
    <row r="264" spans="1:16" ht="15.6" x14ac:dyDescent="0.3">
      <c r="A264" s="262"/>
      <c r="B264" s="264" t="s">
        <v>230</v>
      </c>
      <c r="C264" s="354"/>
      <c r="D264" s="354"/>
      <c r="E264" s="354"/>
      <c r="F264" s="354"/>
      <c r="G264" s="354"/>
      <c r="H264" s="354"/>
      <c r="I264" s="354"/>
      <c r="J264" s="264">
        <v>0</v>
      </c>
      <c r="K264" s="355">
        <v>0</v>
      </c>
      <c r="L264" s="265">
        <v>0</v>
      </c>
      <c r="M264" s="355">
        <v>0</v>
      </c>
      <c r="N264" s="263"/>
      <c r="O264" s="266"/>
      <c r="P264" s="5"/>
    </row>
    <row r="265" spans="1:16" ht="15.6" x14ac:dyDescent="0.3">
      <c r="A265" s="262"/>
      <c r="B265" s="264" t="s">
        <v>231</v>
      </c>
      <c r="C265" s="354"/>
      <c r="D265" s="354"/>
      <c r="E265" s="354"/>
      <c r="F265" s="354"/>
      <c r="G265" s="354"/>
      <c r="H265" s="354"/>
      <c r="I265" s="354"/>
      <c r="J265" s="264">
        <v>0</v>
      </c>
      <c r="K265" s="355">
        <v>0</v>
      </c>
      <c r="L265" s="265">
        <v>0</v>
      </c>
      <c r="M265" s="355">
        <v>0</v>
      </c>
      <c r="N265" s="263"/>
      <c r="O265" s="266"/>
      <c r="P265" s="5"/>
    </row>
    <row r="266" spans="1:16" ht="15.6" x14ac:dyDescent="0.3">
      <c r="A266" s="262"/>
      <c r="B266" s="264" t="s">
        <v>232</v>
      </c>
      <c r="C266" s="354"/>
      <c r="D266" s="354"/>
      <c r="E266" s="354"/>
      <c r="F266" s="354"/>
      <c r="G266" s="354"/>
      <c r="H266" s="354"/>
      <c r="I266" s="354"/>
      <c r="J266" s="264">
        <v>0</v>
      </c>
      <c r="K266" s="355">
        <v>0</v>
      </c>
      <c r="L266" s="265">
        <v>0</v>
      </c>
      <c r="M266" s="355">
        <v>0</v>
      </c>
      <c r="N266" s="263"/>
      <c r="O266" s="266"/>
      <c r="P266" s="5"/>
    </row>
    <row r="267" spans="1:16" ht="15.6" x14ac:dyDescent="0.3">
      <c r="A267" s="262"/>
      <c r="B267" s="264" t="s">
        <v>233</v>
      </c>
      <c r="C267" s="354"/>
      <c r="D267" s="354"/>
      <c r="E267" s="354"/>
      <c r="F267" s="354"/>
      <c r="G267" s="354"/>
      <c r="H267" s="354"/>
      <c r="I267" s="354"/>
      <c r="J267" s="264">
        <v>0</v>
      </c>
      <c r="K267" s="355">
        <v>0</v>
      </c>
      <c r="L267" s="265">
        <v>0</v>
      </c>
      <c r="M267" s="355">
        <v>0</v>
      </c>
      <c r="N267" s="263"/>
      <c r="O267" s="266"/>
      <c r="P267" s="5"/>
    </row>
    <row r="268" spans="1:16" ht="15.6" x14ac:dyDescent="0.3">
      <c r="A268" s="262"/>
      <c r="B268" s="264"/>
      <c r="C268" s="354"/>
      <c r="D268" s="354"/>
      <c r="E268" s="354"/>
      <c r="F268" s="354"/>
      <c r="G268" s="354"/>
      <c r="H268" s="354"/>
      <c r="I268" s="354"/>
      <c r="J268" s="264"/>
      <c r="K268" s="355"/>
      <c r="L268" s="265"/>
      <c r="M268" s="355"/>
      <c r="N268" s="263"/>
      <c r="O268" s="266"/>
      <c r="P268" s="5"/>
    </row>
    <row r="269" spans="1:16" ht="15.6" x14ac:dyDescent="0.3">
      <c r="A269" s="262"/>
      <c r="B269" s="263"/>
      <c r="C269" s="263"/>
      <c r="D269" s="357"/>
      <c r="E269" s="357"/>
      <c r="F269" s="357"/>
      <c r="G269" s="357"/>
      <c r="H269" s="357"/>
      <c r="I269" s="357"/>
      <c r="J269" s="264">
        <f>SUM(J255:J268)</f>
        <v>0</v>
      </c>
      <c r="K269" s="355">
        <f>SUM(K255:K268)</f>
        <v>0</v>
      </c>
      <c r="L269" s="265">
        <f>SUM(L255:L268)</f>
        <v>0</v>
      </c>
      <c r="M269" s="355">
        <f>SUM(M255:M268)</f>
        <v>0</v>
      </c>
      <c r="N269" s="263"/>
      <c r="O269" s="266"/>
      <c r="P269" s="5"/>
    </row>
    <row r="270" spans="1:16" ht="15.6" x14ac:dyDescent="0.3">
      <c r="A270" s="188"/>
      <c r="B270" s="248"/>
      <c r="C270" s="248"/>
      <c r="D270" s="352"/>
      <c r="E270" s="352"/>
      <c r="F270" s="352"/>
      <c r="G270" s="352"/>
      <c r="H270" s="352"/>
      <c r="I270" s="352"/>
      <c r="J270" s="308"/>
      <c r="K270" s="353"/>
      <c r="L270" s="249"/>
      <c r="M270" s="353"/>
      <c r="N270" s="248"/>
      <c r="O270" s="248"/>
      <c r="P270" s="5"/>
    </row>
    <row r="271" spans="1:16" ht="15.6" x14ac:dyDescent="0.3">
      <c r="A271" s="360"/>
      <c r="B271" s="387" t="s">
        <v>150</v>
      </c>
      <c r="C271" s="379"/>
      <c r="D271" s="381"/>
      <c r="E271" s="381"/>
      <c r="F271" s="381"/>
      <c r="G271" s="381"/>
      <c r="H271" s="381"/>
      <c r="I271" s="381"/>
      <c r="J271" s="395" t="s">
        <v>99</v>
      </c>
      <c r="K271" s="389" t="s">
        <v>100</v>
      </c>
      <c r="L271" s="394" t="s">
        <v>108</v>
      </c>
      <c r="M271" s="389" t="s">
        <v>100</v>
      </c>
      <c r="N271" s="379"/>
      <c r="O271" s="380"/>
      <c r="P271" s="5"/>
    </row>
    <row r="272" spans="1:16" ht="15.6" x14ac:dyDescent="0.3">
      <c r="A272" s="262"/>
      <c r="B272" s="264" t="s">
        <v>85</v>
      </c>
      <c r="C272" s="263"/>
      <c r="D272" s="357"/>
      <c r="E272" s="357"/>
      <c r="F272" s="357"/>
      <c r="G272" s="357"/>
      <c r="H272" s="357"/>
      <c r="I272" s="357"/>
      <c r="J272" s="264">
        <v>0</v>
      </c>
      <c r="K272" s="355">
        <f t="shared" ref="K272:K284" si="7">J272/$J$286</f>
        <v>0</v>
      </c>
      <c r="L272" s="265">
        <v>0</v>
      </c>
      <c r="M272" s="355">
        <f t="shared" ref="M272:M284" si="8">L272/$L$286</f>
        <v>0</v>
      </c>
      <c r="N272" s="263"/>
      <c r="O272" s="266"/>
      <c r="P272" s="5"/>
    </row>
    <row r="273" spans="1:16" ht="15.6" x14ac:dyDescent="0.3">
      <c r="A273" s="262"/>
      <c r="B273" s="264" t="s">
        <v>86</v>
      </c>
      <c r="C273" s="263"/>
      <c r="D273" s="357"/>
      <c r="E273" s="357"/>
      <c r="F273" s="357"/>
      <c r="G273" s="357"/>
      <c r="H273" s="357"/>
      <c r="I273" s="357"/>
      <c r="J273" s="264">
        <v>0</v>
      </c>
      <c r="K273" s="355">
        <f t="shared" si="7"/>
        <v>0</v>
      </c>
      <c r="L273" s="265">
        <v>0</v>
      </c>
      <c r="M273" s="355">
        <f t="shared" si="8"/>
        <v>0</v>
      </c>
      <c r="N273" s="263"/>
      <c r="O273" s="266"/>
      <c r="P273" s="5"/>
    </row>
    <row r="274" spans="1:16" ht="15.6" x14ac:dyDescent="0.3">
      <c r="A274" s="262"/>
      <c r="B274" s="264" t="s">
        <v>87</v>
      </c>
      <c r="C274" s="263"/>
      <c r="D274" s="357"/>
      <c r="E274" s="357"/>
      <c r="F274" s="357"/>
      <c r="G274" s="357"/>
      <c r="H274" s="357"/>
      <c r="I274" s="357"/>
      <c r="J274" s="264">
        <v>0</v>
      </c>
      <c r="K274" s="355">
        <f t="shared" si="7"/>
        <v>0</v>
      </c>
      <c r="L274" s="265">
        <v>0</v>
      </c>
      <c r="M274" s="355">
        <f t="shared" si="8"/>
        <v>0</v>
      </c>
      <c r="N274" s="263"/>
      <c r="O274" s="266"/>
      <c r="P274" s="5"/>
    </row>
    <row r="275" spans="1:16" ht="15.6" x14ac:dyDescent="0.3">
      <c r="A275" s="262"/>
      <c r="B275" s="264" t="s">
        <v>145</v>
      </c>
      <c r="C275" s="263"/>
      <c r="D275" s="357"/>
      <c r="E275" s="357"/>
      <c r="F275" s="357"/>
      <c r="G275" s="357"/>
      <c r="H275" s="357"/>
      <c r="I275" s="357"/>
      <c r="J275" s="264">
        <v>0</v>
      </c>
      <c r="K275" s="355">
        <f t="shared" si="7"/>
        <v>0</v>
      </c>
      <c r="L275" s="265">
        <v>0</v>
      </c>
      <c r="M275" s="355">
        <f t="shared" si="8"/>
        <v>0</v>
      </c>
      <c r="N275" s="263"/>
      <c r="O275" s="266"/>
      <c r="P275" s="5"/>
    </row>
    <row r="276" spans="1:16" ht="15.6" x14ac:dyDescent="0.3">
      <c r="A276" s="262"/>
      <c r="B276" s="264" t="s">
        <v>146</v>
      </c>
      <c r="C276" s="263"/>
      <c r="D276" s="357"/>
      <c r="E276" s="357"/>
      <c r="F276" s="357"/>
      <c r="G276" s="357"/>
      <c r="H276" s="357"/>
      <c r="I276" s="357"/>
      <c r="J276" s="264">
        <v>1</v>
      </c>
      <c r="K276" s="355">
        <f t="shared" si="7"/>
        <v>1</v>
      </c>
      <c r="L276" s="265">
        <v>93</v>
      </c>
      <c r="M276" s="355">
        <f t="shared" si="8"/>
        <v>1</v>
      </c>
      <c r="N276" s="263"/>
      <c r="O276" s="266"/>
      <c r="P276" s="5"/>
    </row>
    <row r="277" spans="1:16" ht="15.6" x14ac:dyDescent="0.3">
      <c r="A277" s="262"/>
      <c r="B277" s="264" t="s">
        <v>147</v>
      </c>
      <c r="C277" s="263"/>
      <c r="D277" s="357"/>
      <c r="E277" s="357"/>
      <c r="F277" s="357"/>
      <c r="G277" s="357"/>
      <c r="H277" s="357"/>
      <c r="I277" s="357"/>
      <c r="J277" s="264">
        <v>0</v>
      </c>
      <c r="K277" s="355">
        <f t="shared" si="7"/>
        <v>0</v>
      </c>
      <c r="L277" s="265">
        <v>0</v>
      </c>
      <c r="M277" s="355">
        <f t="shared" si="8"/>
        <v>0</v>
      </c>
      <c r="N277" s="263"/>
      <c r="O277" s="266"/>
      <c r="P277" s="5"/>
    </row>
    <row r="278" spans="1:16" ht="15.6" x14ac:dyDescent="0.3">
      <c r="A278" s="262"/>
      <c r="B278" s="264" t="s">
        <v>227</v>
      </c>
      <c r="C278" s="263"/>
      <c r="D278" s="357"/>
      <c r="E278" s="357"/>
      <c r="F278" s="357"/>
      <c r="G278" s="357"/>
      <c r="H278" s="357"/>
      <c r="I278" s="357"/>
      <c r="J278" s="264">
        <v>0</v>
      </c>
      <c r="K278" s="355">
        <f t="shared" si="7"/>
        <v>0</v>
      </c>
      <c r="L278" s="265">
        <v>0</v>
      </c>
      <c r="M278" s="355">
        <f t="shared" si="8"/>
        <v>0</v>
      </c>
      <c r="N278" s="263"/>
      <c r="O278" s="266"/>
      <c r="P278" s="5"/>
    </row>
    <row r="279" spans="1:16" ht="15.6" x14ac:dyDescent="0.3">
      <c r="A279" s="262"/>
      <c r="B279" s="264" t="s">
        <v>228</v>
      </c>
      <c r="C279" s="263"/>
      <c r="D279" s="357"/>
      <c r="E279" s="357"/>
      <c r="F279" s="357"/>
      <c r="G279" s="357"/>
      <c r="H279" s="357"/>
      <c r="I279" s="357"/>
      <c r="J279" s="264">
        <v>0</v>
      </c>
      <c r="K279" s="355">
        <f t="shared" si="7"/>
        <v>0</v>
      </c>
      <c r="L279" s="265">
        <v>0</v>
      </c>
      <c r="M279" s="355">
        <f t="shared" si="8"/>
        <v>0</v>
      </c>
      <c r="N279" s="263"/>
      <c r="O279" s="266"/>
      <c r="P279" s="5"/>
    </row>
    <row r="280" spans="1:16" ht="15.6" x14ac:dyDescent="0.3">
      <c r="A280" s="262"/>
      <c r="B280" s="264" t="s">
        <v>229</v>
      </c>
      <c r="C280" s="263"/>
      <c r="D280" s="357"/>
      <c r="E280" s="357"/>
      <c r="F280" s="357"/>
      <c r="G280" s="357"/>
      <c r="H280" s="357"/>
      <c r="I280" s="357"/>
      <c r="J280" s="264">
        <v>0</v>
      </c>
      <c r="K280" s="355">
        <f t="shared" si="7"/>
        <v>0</v>
      </c>
      <c r="L280" s="265">
        <v>0</v>
      </c>
      <c r="M280" s="355">
        <f t="shared" si="8"/>
        <v>0</v>
      </c>
      <c r="N280" s="263"/>
      <c r="O280" s="266"/>
      <c r="P280" s="5"/>
    </row>
    <row r="281" spans="1:16" ht="15.6" x14ac:dyDescent="0.3">
      <c r="A281" s="262"/>
      <c r="B281" s="264" t="s">
        <v>230</v>
      </c>
      <c r="C281" s="263"/>
      <c r="D281" s="357"/>
      <c r="E281" s="357"/>
      <c r="F281" s="357"/>
      <c r="G281" s="357"/>
      <c r="H281" s="357"/>
      <c r="I281" s="357"/>
      <c r="J281" s="264">
        <v>0</v>
      </c>
      <c r="K281" s="355">
        <f t="shared" si="7"/>
        <v>0</v>
      </c>
      <c r="L281" s="265">
        <v>0</v>
      </c>
      <c r="M281" s="355">
        <f t="shared" si="8"/>
        <v>0</v>
      </c>
      <c r="N281" s="263"/>
      <c r="O281" s="266"/>
      <c r="P281" s="5"/>
    </row>
    <row r="282" spans="1:16" ht="15.6" x14ac:dyDescent="0.3">
      <c r="A282" s="262"/>
      <c r="B282" s="264" t="s">
        <v>231</v>
      </c>
      <c r="C282" s="263"/>
      <c r="D282" s="357"/>
      <c r="E282" s="357"/>
      <c r="F282" s="357"/>
      <c r="G282" s="357"/>
      <c r="H282" s="357"/>
      <c r="I282" s="357"/>
      <c r="J282" s="264">
        <v>0</v>
      </c>
      <c r="K282" s="355">
        <f t="shared" si="7"/>
        <v>0</v>
      </c>
      <c r="L282" s="265">
        <v>0</v>
      </c>
      <c r="M282" s="355">
        <f t="shared" si="8"/>
        <v>0</v>
      </c>
      <c r="N282" s="263"/>
      <c r="O282" s="266"/>
      <c r="P282" s="5"/>
    </row>
    <row r="283" spans="1:16" ht="15.6" x14ac:dyDescent="0.3">
      <c r="A283" s="262"/>
      <c r="B283" s="264" t="s">
        <v>232</v>
      </c>
      <c r="C283" s="263"/>
      <c r="D283" s="357"/>
      <c r="E283" s="357"/>
      <c r="F283" s="357"/>
      <c r="G283" s="357"/>
      <c r="H283" s="357"/>
      <c r="I283" s="357"/>
      <c r="J283" s="264">
        <v>0</v>
      </c>
      <c r="K283" s="355">
        <f t="shared" si="7"/>
        <v>0</v>
      </c>
      <c r="L283" s="265">
        <v>0</v>
      </c>
      <c r="M283" s="355">
        <f t="shared" si="8"/>
        <v>0</v>
      </c>
      <c r="N283" s="263"/>
      <c r="O283" s="266"/>
      <c r="P283" s="5"/>
    </row>
    <row r="284" spans="1:16" ht="15.6" x14ac:dyDescent="0.3">
      <c r="A284" s="262"/>
      <c r="B284" s="264" t="s">
        <v>233</v>
      </c>
      <c r="C284" s="263"/>
      <c r="D284" s="357"/>
      <c r="E284" s="357"/>
      <c r="F284" s="357"/>
      <c r="G284" s="357"/>
      <c r="H284" s="357"/>
      <c r="I284" s="357"/>
      <c r="J284" s="264">
        <v>0</v>
      </c>
      <c r="K284" s="355">
        <f t="shared" si="7"/>
        <v>0</v>
      </c>
      <c r="L284" s="265">
        <v>0</v>
      </c>
      <c r="M284" s="355">
        <f t="shared" si="8"/>
        <v>0</v>
      </c>
      <c r="N284" s="263"/>
      <c r="O284" s="266"/>
      <c r="P284" s="5"/>
    </row>
    <row r="285" spans="1:16" ht="15.6" x14ac:dyDescent="0.3">
      <c r="A285" s="262"/>
      <c r="B285" s="264"/>
      <c r="C285" s="263"/>
      <c r="D285" s="357"/>
      <c r="E285" s="357"/>
      <c r="F285" s="357"/>
      <c r="G285" s="357"/>
      <c r="H285" s="357"/>
      <c r="I285" s="357"/>
      <c r="J285" s="264"/>
      <c r="K285" s="355"/>
      <c r="L285" s="265"/>
      <c r="M285" s="355"/>
      <c r="N285" s="263"/>
      <c r="O285" s="266"/>
      <c r="P285" s="5"/>
    </row>
    <row r="286" spans="1:16" ht="15.6" x14ac:dyDescent="0.3">
      <c r="A286" s="262"/>
      <c r="B286" s="263" t="s">
        <v>114</v>
      </c>
      <c r="C286" s="263"/>
      <c r="D286" s="357"/>
      <c r="E286" s="357"/>
      <c r="F286" s="357"/>
      <c r="G286" s="357"/>
      <c r="H286" s="357"/>
      <c r="I286" s="357"/>
      <c r="J286" s="264">
        <f>SUM(J272:J284)</f>
        <v>1</v>
      </c>
      <c r="K286" s="355">
        <f>SUM(K272:K284)</f>
        <v>1</v>
      </c>
      <c r="L286" s="265">
        <f>SUM(L272:L284)</f>
        <v>93</v>
      </c>
      <c r="M286" s="355">
        <f>SUM(M272:M284)</f>
        <v>1</v>
      </c>
      <c r="N286" s="263"/>
      <c r="O286" s="266"/>
      <c r="P286" s="5"/>
    </row>
    <row r="287" spans="1:16" ht="15.6" x14ac:dyDescent="0.3">
      <c r="A287" s="262"/>
      <c r="B287" s="263"/>
      <c r="C287" s="263"/>
      <c r="D287" s="357"/>
      <c r="E287" s="357"/>
      <c r="F287" s="357"/>
      <c r="G287" s="357"/>
      <c r="H287" s="357"/>
      <c r="I287" s="357"/>
      <c r="J287" s="264"/>
      <c r="K287" s="355"/>
      <c r="L287" s="265"/>
      <c r="M287" s="355"/>
      <c r="N287" s="263"/>
      <c r="O287" s="266"/>
      <c r="P287" s="5"/>
    </row>
    <row r="288" spans="1:16" ht="15.6" x14ac:dyDescent="0.3">
      <c r="A288" s="262"/>
      <c r="B288" s="275" t="s">
        <v>151</v>
      </c>
      <c r="C288" s="263"/>
      <c r="D288" s="357"/>
      <c r="E288" s="357"/>
      <c r="F288" s="357"/>
      <c r="G288" s="357"/>
      <c r="H288" s="357"/>
      <c r="I288" s="357"/>
      <c r="J288" s="396">
        <f>J286+J269+J252</f>
        <v>437</v>
      </c>
      <c r="K288" s="355"/>
      <c r="L288" s="359">
        <f>+L286+L269+L252</f>
        <v>15955</v>
      </c>
      <c r="M288" s="355"/>
      <c r="N288" s="263"/>
      <c r="O288" s="266"/>
      <c r="P288" s="5"/>
    </row>
    <row r="289" spans="1:16" ht="15.6" x14ac:dyDescent="0.3">
      <c r="A289" s="188"/>
      <c r="B289" s="248"/>
      <c r="C289" s="248"/>
      <c r="D289" s="352"/>
      <c r="E289" s="352"/>
      <c r="F289" s="352"/>
      <c r="G289" s="352"/>
      <c r="H289" s="352"/>
      <c r="I289" s="352"/>
      <c r="J289" s="352"/>
      <c r="K289" s="352"/>
      <c r="L289" s="249"/>
      <c r="M289" s="352"/>
      <c r="N289" s="248"/>
      <c r="O289" s="248"/>
      <c r="P289" s="5"/>
    </row>
    <row r="290" spans="1:16" ht="15.6" x14ac:dyDescent="0.3">
      <c r="A290" s="188"/>
      <c r="B290" s="238"/>
      <c r="C290" s="238"/>
      <c r="D290" s="253"/>
      <c r="E290" s="253"/>
      <c r="F290" s="253"/>
      <c r="G290" s="253"/>
      <c r="H290" s="253"/>
      <c r="I290" s="253"/>
      <c r="J290" s="253"/>
      <c r="K290" s="253"/>
      <c r="L290" s="254"/>
      <c r="M290" s="253"/>
      <c r="N290" s="238"/>
      <c r="O290" s="238"/>
      <c r="P290" s="5"/>
    </row>
    <row r="291" spans="1:16" ht="15.6" x14ac:dyDescent="0.3">
      <c r="A291" s="226"/>
      <c r="B291" s="229" t="s">
        <v>88</v>
      </c>
      <c r="C291" s="238"/>
      <c r="D291" s="232" t="s">
        <v>94</v>
      </c>
      <c r="E291" s="238"/>
      <c r="F291" s="229" t="s">
        <v>96</v>
      </c>
      <c r="G291" s="255"/>
      <c r="H291" s="255"/>
      <c r="I291" s="255"/>
      <c r="J291" s="232"/>
      <c r="K291" s="238"/>
      <c r="L291" s="229"/>
      <c r="M291" s="255"/>
      <c r="N291" s="255"/>
      <c r="O291" s="255"/>
      <c r="P291" s="5"/>
    </row>
    <row r="292" spans="1:16" ht="15.6" x14ac:dyDescent="0.3">
      <c r="A292" s="226"/>
      <c r="B292" s="255"/>
      <c r="C292" s="238"/>
      <c r="D292" s="238"/>
      <c r="E292" s="238"/>
      <c r="F292" s="238"/>
      <c r="G292" s="255"/>
      <c r="H292" s="255"/>
      <c r="I292" s="255"/>
      <c r="J292" s="238"/>
      <c r="K292" s="238"/>
      <c r="L292" s="238"/>
      <c r="M292" s="255"/>
      <c r="N292" s="255"/>
      <c r="O292" s="255"/>
      <c r="P292" s="5"/>
    </row>
    <row r="293" spans="1:16" ht="15.6" x14ac:dyDescent="0.3">
      <c r="A293" s="385"/>
      <c r="B293" s="229" t="s">
        <v>273</v>
      </c>
      <c r="C293" s="229"/>
      <c r="D293" s="256" t="s">
        <v>240</v>
      </c>
      <c r="E293" s="256"/>
      <c r="F293" s="229" t="s">
        <v>241</v>
      </c>
      <c r="G293" s="229"/>
      <c r="H293" s="255"/>
      <c r="I293" s="255"/>
      <c r="J293" s="256"/>
      <c r="K293" s="229"/>
      <c r="L293" s="229"/>
      <c r="M293" s="255"/>
      <c r="N293" s="255"/>
      <c r="O293" s="255"/>
      <c r="P293" s="5"/>
    </row>
    <row r="294" spans="1:16" ht="15.6" x14ac:dyDescent="0.3">
      <c r="A294" s="226"/>
      <c r="B294" s="229" t="s">
        <v>274</v>
      </c>
      <c r="C294" s="229"/>
      <c r="D294" s="256" t="s">
        <v>137</v>
      </c>
      <c r="E294" s="229"/>
      <c r="F294" s="229" t="s">
        <v>142</v>
      </c>
      <c r="G294" s="255"/>
      <c r="H294" s="255"/>
      <c r="I294" s="255"/>
      <c r="J294" s="256"/>
      <c r="K294" s="229"/>
      <c r="L294" s="229"/>
      <c r="M294" s="255"/>
      <c r="N294" s="255"/>
      <c r="O294" s="255"/>
      <c r="P294" s="5"/>
    </row>
    <row r="295" spans="1:16" ht="15.6" x14ac:dyDescent="0.3">
      <c r="A295" s="226"/>
      <c r="B295" s="196"/>
      <c r="C295" s="196"/>
      <c r="D295" s="202"/>
      <c r="E295" s="202"/>
      <c r="F295" s="202"/>
      <c r="G295" s="202"/>
      <c r="H295" s="202"/>
      <c r="I295" s="202"/>
      <c r="J295" s="202"/>
      <c r="K295" s="202"/>
      <c r="L295" s="202"/>
      <c r="M295" s="202"/>
      <c r="N295" s="202"/>
      <c r="O295" s="202"/>
      <c r="P295" s="5"/>
    </row>
    <row r="296" spans="1:16" ht="15.6" x14ac:dyDescent="0.3">
      <c r="A296" s="226"/>
      <c r="B296" s="196"/>
      <c r="C296" s="196"/>
      <c r="D296" s="202"/>
      <c r="E296" s="202"/>
      <c r="F296" s="202"/>
      <c r="G296" s="202"/>
      <c r="H296" s="202"/>
      <c r="I296" s="202"/>
      <c r="J296" s="202"/>
      <c r="K296" s="202"/>
      <c r="L296" s="202"/>
      <c r="M296" s="202"/>
      <c r="N296" s="202"/>
      <c r="O296" s="202"/>
      <c r="P296" s="5"/>
    </row>
    <row r="297" spans="1:16" ht="18" thickBot="1" x14ac:dyDescent="0.35">
      <c r="A297" s="226"/>
      <c r="B297" s="257" t="str">
        <f>B182</f>
        <v>FF7 INVESTOR REPORT QUARTER ENDING AUGUST 2017</v>
      </c>
      <c r="C297" s="196"/>
      <c r="D297" s="202"/>
      <c r="E297" s="202"/>
      <c r="F297" s="202"/>
      <c r="G297" s="202"/>
      <c r="H297" s="202"/>
      <c r="I297" s="202"/>
      <c r="J297" s="202"/>
      <c r="K297" s="202"/>
      <c r="L297" s="202"/>
      <c r="M297" s="202"/>
      <c r="N297" s="202"/>
      <c r="O297" s="202"/>
      <c r="P297" s="5"/>
    </row>
    <row r="298" spans="1:16" x14ac:dyDescent="0.25">
      <c r="A298" s="95"/>
      <c r="B298" s="95"/>
      <c r="C298" s="95"/>
      <c r="D298" s="95"/>
      <c r="E298" s="95"/>
      <c r="F298" s="95"/>
      <c r="G298" s="95"/>
      <c r="H298" s="95"/>
      <c r="I298" s="95"/>
      <c r="J298" s="95"/>
      <c r="K298" s="95"/>
      <c r="L298" s="95"/>
      <c r="M298" s="95"/>
      <c r="N298" s="95"/>
      <c r="O298" s="95"/>
    </row>
  </sheetData>
  <printOptions horizontalCentered="1" verticalCentered="1"/>
  <pageMargins left="0.19685039370078741" right="0.19685039370078741" top="0.27559055118110237" bottom="0.27559055118110237" header="0" footer="0"/>
  <pageSetup scale="53" orientation="landscape" r:id="rId1"/>
  <headerFooter alignWithMargins="0"/>
  <rowBreaks count="3" manualBreakCount="3">
    <brk id="52" max="14" man="1"/>
    <brk id="115" max="14" man="1"/>
    <brk id="182" max="14" man="1"/>
  </rowBreaks>
  <colBreaks count="1" manualBreakCount="1">
    <brk id="15" max="298"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V298"/>
  <sheetViews>
    <sheetView showGridLines="0" showOutlineSymbols="0" zoomScale="80" zoomScaleNormal="80" workbookViewId="0"/>
  </sheetViews>
  <sheetFormatPr defaultColWidth="9.6328125" defaultRowHeight="15.6" x14ac:dyDescent="0.3"/>
  <cols>
    <col min="1" max="1" width="4" style="403" customWidth="1"/>
    <col min="2" max="2" width="75.1796875" style="403" customWidth="1"/>
    <col min="3" max="3" width="2.1796875" style="403" customWidth="1"/>
    <col min="4" max="4" width="17.90625" style="403" customWidth="1"/>
    <col min="5" max="5" width="2.36328125" style="403" customWidth="1"/>
    <col min="6" max="6" width="13.08984375" style="403" customWidth="1"/>
    <col min="7" max="7" width="2.36328125" style="403" customWidth="1"/>
    <col min="8" max="8" width="15.54296875" style="403" customWidth="1"/>
    <col min="9" max="9" width="2.1796875" style="403" customWidth="1"/>
    <col min="10" max="10" width="15.54296875" style="403" customWidth="1"/>
    <col min="11" max="12" width="12.6328125" style="403" customWidth="1"/>
    <col min="13" max="13" width="7.81640625" style="403" customWidth="1"/>
    <col min="14" max="14" width="14.6328125" style="403" customWidth="1"/>
    <col min="15" max="15" width="11.81640625" style="403" customWidth="1"/>
    <col min="16" max="16384" width="9.6328125" style="403"/>
  </cols>
  <sheetData>
    <row r="1" spans="1:16" ht="21" x14ac:dyDescent="0.4">
      <c r="A1" s="399"/>
      <c r="B1" s="400" t="s">
        <v>184</v>
      </c>
      <c r="C1" s="401"/>
      <c r="D1" s="401"/>
      <c r="E1" s="401"/>
      <c r="F1" s="401"/>
      <c r="G1" s="401"/>
      <c r="H1" s="401"/>
      <c r="I1" s="401"/>
      <c r="J1" s="401"/>
      <c r="K1" s="401"/>
      <c r="L1" s="401"/>
      <c r="M1" s="401"/>
      <c r="N1" s="401"/>
      <c r="O1" s="401"/>
      <c r="P1" s="402"/>
    </row>
    <row r="2" spans="1:16" x14ac:dyDescent="0.3">
      <c r="A2" s="404"/>
      <c r="B2" s="405"/>
      <c r="C2" s="406"/>
      <c r="D2" s="406"/>
      <c r="E2" s="406"/>
      <c r="F2" s="406"/>
      <c r="G2" s="406"/>
      <c r="H2" s="406"/>
      <c r="I2" s="406"/>
      <c r="J2" s="406"/>
      <c r="K2" s="406"/>
      <c r="L2" s="406"/>
      <c r="M2" s="406"/>
      <c r="N2" s="406"/>
      <c r="O2" s="406"/>
      <c r="P2" s="402"/>
    </row>
    <row r="3" spans="1:16" x14ac:dyDescent="0.3">
      <c r="A3" s="407"/>
      <c r="B3" s="408" t="s">
        <v>185</v>
      </c>
      <c r="C3" s="406"/>
      <c r="D3" s="406"/>
      <c r="E3" s="406"/>
      <c r="F3" s="406"/>
      <c r="G3" s="406"/>
      <c r="H3" s="406"/>
      <c r="I3" s="406"/>
      <c r="J3" s="406"/>
      <c r="K3" s="406"/>
      <c r="L3" s="406"/>
      <c r="M3" s="406"/>
      <c r="N3" s="406"/>
      <c r="O3" s="406"/>
      <c r="P3" s="402"/>
    </row>
    <row r="4" spans="1:16" x14ac:dyDescent="0.3">
      <c r="A4" s="404"/>
      <c r="B4" s="405"/>
      <c r="C4" s="406"/>
      <c r="D4" s="406"/>
      <c r="E4" s="406"/>
      <c r="F4" s="406"/>
      <c r="G4" s="406"/>
      <c r="H4" s="406"/>
      <c r="I4" s="406"/>
      <c r="J4" s="406"/>
      <c r="K4" s="406"/>
      <c r="L4" s="406"/>
      <c r="M4" s="406"/>
      <c r="N4" s="406"/>
      <c r="O4" s="406"/>
      <c r="P4" s="402"/>
    </row>
    <row r="5" spans="1:16" x14ac:dyDescent="0.3">
      <c r="A5" s="404"/>
      <c r="B5" s="409" t="s">
        <v>243</v>
      </c>
      <c r="C5" s="406"/>
      <c r="D5" s="406"/>
      <c r="E5" s="406"/>
      <c r="F5" s="406"/>
      <c r="G5" s="406"/>
      <c r="H5" s="406"/>
      <c r="I5" s="406"/>
      <c r="J5" s="406"/>
      <c r="K5" s="406"/>
      <c r="L5" s="406"/>
      <c r="M5" s="406"/>
      <c r="N5" s="406"/>
      <c r="O5" s="406"/>
      <c r="P5" s="402"/>
    </row>
    <row r="6" spans="1:16" x14ac:dyDescent="0.3">
      <c r="A6" s="404"/>
      <c r="B6" s="409" t="s">
        <v>187</v>
      </c>
      <c r="C6" s="406"/>
      <c r="D6" s="406"/>
      <c r="E6" s="406"/>
      <c r="F6" s="406"/>
      <c r="G6" s="406"/>
      <c r="H6" s="406"/>
      <c r="I6" s="406"/>
      <c r="J6" s="406"/>
      <c r="K6" s="406"/>
      <c r="L6" s="406"/>
      <c r="M6" s="406"/>
      <c r="N6" s="406"/>
      <c r="O6" s="406"/>
      <c r="P6" s="402"/>
    </row>
    <row r="7" spans="1:16" x14ac:dyDescent="0.3">
      <c r="A7" s="404"/>
      <c r="B7" s="409" t="s">
        <v>188</v>
      </c>
      <c r="C7" s="406"/>
      <c r="D7" s="406"/>
      <c r="E7" s="406"/>
      <c r="F7" s="406"/>
      <c r="G7" s="406"/>
      <c r="H7" s="406"/>
      <c r="I7" s="406"/>
      <c r="J7" s="406"/>
      <c r="K7" s="406"/>
      <c r="L7" s="406"/>
      <c r="M7" s="406"/>
      <c r="N7" s="406"/>
      <c r="O7" s="406"/>
      <c r="P7" s="402"/>
    </row>
    <row r="8" spans="1:16" x14ac:dyDescent="0.3">
      <c r="A8" s="404"/>
      <c r="B8" s="410"/>
      <c r="C8" s="406"/>
      <c r="D8" s="406"/>
      <c r="E8" s="406"/>
      <c r="F8" s="406"/>
      <c r="G8" s="406"/>
      <c r="H8" s="406"/>
      <c r="I8" s="406"/>
      <c r="J8" s="406"/>
      <c r="K8" s="406"/>
      <c r="L8" s="406"/>
      <c r="M8" s="406"/>
      <c r="N8" s="406"/>
      <c r="O8" s="406"/>
      <c r="P8" s="402"/>
    </row>
    <row r="9" spans="1:16" ht="18" x14ac:dyDescent="0.35">
      <c r="A9" s="404"/>
      <c r="B9" s="411" t="s">
        <v>153</v>
      </c>
      <c r="C9" s="406"/>
      <c r="D9" s="412"/>
      <c r="E9" s="406"/>
      <c r="F9" s="412"/>
      <c r="G9" s="406"/>
      <c r="H9" s="406"/>
      <c r="I9" s="406"/>
      <c r="J9" s="406"/>
      <c r="K9" s="398" t="s">
        <v>293</v>
      </c>
      <c r="L9" s="406"/>
      <c r="M9" s="406"/>
      <c r="N9" s="406"/>
      <c r="O9" s="406"/>
      <c r="P9" s="402"/>
    </row>
    <row r="10" spans="1:16" x14ac:dyDescent="0.3">
      <c r="A10" s="404"/>
      <c r="B10" s="410"/>
      <c r="C10" s="413"/>
      <c r="D10" s="406"/>
      <c r="E10" s="406"/>
      <c r="F10" s="406"/>
      <c r="G10" s="406"/>
      <c r="H10" s="406"/>
      <c r="I10" s="406"/>
      <c r="J10" s="406"/>
      <c r="K10" s="406"/>
      <c r="L10" s="406"/>
      <c r="M10" s="406"/>
      <c r="N10" s="406"/>
      <c r="O10" s="406"/>
      <c r="P10" s="402"/>
    </row>
    <row r="11" spans="1:16" x14ac:dyDescent="0.3">
      <c r="A11" s="404"/>
      <c r="B11" s="414" t="s">
        <v>0</v>
      </c>
      <c r="C11" s="406"/>
      <c r="D11" s="406"/>
      <c r="E11" s="406"/>
      <c r="F11" s="406"/>
      <c r="G11" s="406"/>
      <c r="H11" s="406"/>
      <c r="I11" s="406"/>
      <c r="J11" s="406"/>
      <c r="K11" s="406"/>
      <c r="L11" s="406"/>
      <c r="M11" s="406"/>
      <c r="N11" s="406"/>
      <c r="O11" s="406"/>
      <c r="P11" s="402"/>
    </row>
    <row r="12" spans="1:16" ht="16.2" thickBot="1" x14ac:dyDescent="0.35">
      <c r="A12" s="404"/>
      <c r="B12" s="413"/>
      <c r="C12" s="406"/>
      <c r="D12" s="406"/>
      <c r="E12" s="406"/>
      <c r="F12" s="406"/>
      <c r="G12" s="406"/>
      <c r="H12" s="406"/>
      <c r="I12" s="406"/>
      <c r="J12" s="406"/>
      <c r="K12" s="406"/>
      <c r="L12" s="406"/>
      <c r="M12" s="406"/>
      <c r="N12" s="406"/>
      <c r="O12" s="406"/>
      <c r="P12" s="402"/>
    </row>
    <row r="13" spans="1:16" x14ac:dyDescent="0.3">
      <c r="A13" s="399"/>
      <c r="B13" s="401"/>
      <c r="C13" s="401"/>
      <c r="D13" s="401"/>
      <c r="E13" s="401"/>
      <c r="F13" s="401"/>
      <c r="G13" s="401"/>
      <c r="H13" s="401"/>
      <c r="I13" s="401"/>
      <c r="J13" s="401"/>
      <c r="K13" s="401"/>
      <c r="L13" s="401"/>
      <c r="M13" s="401"/>
      <c r="N13" s="401"/>
      <c r="O13" s="401"/>
      <c r="P13" s="402"/>
    </row>
    <row r="14" spans="1:16" s="419" customFormat="1" x14ac:dyDescent="0.3">
      <c r="A14" s="415"/>
      <c r="B14" s="414" t="s">
        <v>1</v>
      </c>
      <c r="C14" s="416"/>
      <c r="D14" s="416"/>
      <c r="E14" s="416"/>
      <c r="F14" s="416"/>
      <c r="G14" s="416"/>
      <c r="H14" s="416"/>
      <c r="I14" s="416"/>
      <c r="J14" s="416"/>
      <c r="K14" s="416"/>
      <c r="L14" s="416"/>
      <c r="M14" s="416"/>
      <c r="N14" s="417" t="s">
        <v>186</v>
      </c>
      <c r="O14" s="416"/>
      <c r="P14" s="418"/>
    </row>
    <row r="15" spans="1:16" s="419" customFormat="1" x14ac:dyDescent="0.3">
      <c r="A15" s="415"/>
      <c r="B15" s="414" t="s">
        <v>2</v>
      </c>
      <c r="C15" s="416"/>
      <c r="D15" s="420"/>
      <c r="E15" s="420"/>
      <c r="F15" s="420"/>
      <c r="G15" s="420"/>
      <c r="H15" s="420"/>
      <c r="I15" s="420"/>
      <c r="J15" s="420" t="s">
        <v>101</v>
      </c>
      <c r="K15" s="421">
        <v>4.07E-2</v>
      </c>
      <c r="L15" s="422" t="s">
        <v>133</v>
      </c>
      <c r="M15" s="421">
        <v>0.95930000000000004</v>
      </c>
      <c r="N15" s="417"/>
      <c r="O15" s="416"/>
      <c r="P15" s="418"/>
    </row>
    <row r="16" spans="1:16" s="419" customFormat="1" x14ac:dyDescent="0.3">
      <c r="A16" s="415"/>
      <c r="B16" s="414" t="s">
        <v>3</v>
      </c>
      <c r="C16" s="416"/>
      <c r="D16" s="420"/>
      <c r="E16" s="420"/>
      <c r="F16" s="420"/>
      <c r="G16" s="420"/>
      <c r="H16" s="420"/>
      <c r="I16" s="420"/>
      <c r="J16" s="420" t="s">
        <v>101</v>
      </c>
      <c r="K16" s="421">
        <v>0.17929999999999999</v>
      </c>
      <c r="L16" s="422" t="s">
        <v>133</v>
      </c>
      <c r="M16" s="421">
        <v>0.82069999999999999</v>
      </c>
      <c r="N16" s="417"/>
      <c r="O16" s="416"/>
      <c r="P16" s="418"/>
    </row>
    <row r="17" spans="1:16" s="419" customFormat="1" x14ac:dyDescent="0.3">
      <c r="A17" s="415"/>
      <c r="B17" s="414" t="s">
        <v>4</v>
      </c>
      <c r="C17" s="416"/>
      <c r="D17" s="416"/>
      <c r="E17" s="416"/>
      <c r="F17" s="416"/>
      <c r="G17" s="416"/>
      <c r="H17" s="416"/>
      <c r="I17" s="416"/>
      <c r="J17" s="416"/>
      <c r="K17" s="416"/>
      <c r="L17" s="416"/>
      <c r="M17" s="416"/>
      <c r="N17" s="423">
        <v>39107</v>
      </c>
      <c r="O17" s="416"/>
      <c r="P17" s="418"/>
    </row>
    <row r="18" spans="1:16" s="419" customFormat="1" x14ac:dyDescent="0.3">
      <c r="A18" s="415"/>
      <c r="B18" s="414" t="s">
        <v>5</v>
      </c>
      <c r="C18" s="416"/>
      <c r="D18" s="416"/>
      <c r="E18" s="416"/>
      <c r="F18" s="416"/>
      <c r="G18" s="416"/>
      <c r="H18" s="416"/>
      <c r="I18" s="416"/>
      <c r="J18" s="416"/>
      <c r="K18" s="416"/>
      <c r="L18" s="416"/>
      <c r="M18" s="416"/>
      <c r="N18" s="423">
        <v>43091</v>
      </c>
      <c r="O18" s="416"/>
      <c r="P18" s="418"/>
    </row>
    <row r="19" spans="1:16" s="419" customFormat="1" x14ac:dyDescent="0.3">
      <c r="A19" s="415"/>
      <c r="B19" s="416"/>
      <c r="C19" s="416"/>
      <c r="D19" s="416"/>
      <c r="E19" s="416"/>
      <c r="F19" s="416"/>
      <c r="G19" s="416"/>
      <c r="H19" s="416"/>
      <c r="I19" s="416"/>
      <c r="J19" s="416"/>
      <c r="K19" s="416"/>
      <c r="L19" s="416"/>
      <c r="M19" s="416"/>
      <c r="N19" s="424"/>
      <c r="O19" s="416"/>
      <c r="P19" s="418"/>
    </row>
    <row r="20" spans="1:16" s="419" customFormat="1" x14ac:dyDescent="0.3">
      <c r="A20" s="415"/>
      <c r="B20" s="425" t="s">
        <v>6</v>
      </c>
      <c r="C20" s="416"/>
      <c r="D20" s="416"/>
      <c r="E20" s="416"/>
      <c r="F20" s="416"/>
      <c r="G20" s="416"/>
      <c r="H20" s="416"/>
      <c r="I20" s="416"/>
      <c r="J20" s="416"/>
      <c r="K20" s="416"/>
      <c r="L20" s="424" t="s">
        <v>102</v>
      </c>
      <c r="M20" s="416"/>
      <c r="N20" s="416"/>
      <c r="O20" s="416"/>
      <c r="P20" s="418"/>
    </row>
    <row r="21" spans="1:16" x14ac:dyDescent="0.3">
      <c r="A21" s="404"/>
      <c r="B21" s="406"/>
      <c r="C21" s="406"/>
      <c r="D21" s="406"/>
      <c r="E21" s="406"/>
      <c r="F21" s="406"/>
      <c r="G21" s="406"/>
      <c r="H21" s="406"/>
      <c r="I21" s="406"/>
      <c r="J21" s="406"/>
      <c r="K21" s="406"/>
      <c r="L21" s="406"/>
      <c r="M21" s="406"/>
      <c r="N21" s="426"/>
      <c r="O21" s="406"/>
      <c r="P21" s="402"/>
    </row>
    <row r="22" spans="1:16" x14ac:dyDescent="0.3">
      <c r="A22" s="585"/>
      <c r="B22" s="591"/>
      <c r="C22" s="592"/>
      <c r="D22" s="592" t="s">
        <v>103</v>
      </c>
      <c r="E22" s="592"/>
      <c r="F22" s="592" t="s">
        <v>189</v>
      </c>
      <c r="G22" s="592"/>
      <c r="H22" s="592" t="s">
        <v>190</v>
      </c>
      <c r="I22" s="592"/>
      <c r="J22" s="592"/>
      <c r="K22" s="593"/>
      <c r="L22" s="593"/>
      <c r="M22" s="591"/>
      <c r="N22" s="591"/>
      <c r="O22" s="594"/>
      <c r="P22" s="402"/>
    </row>
    <row r="23" spans="1:16" s="419" customFormat="1" x14ac:dyDescent="0.3">
      <c r="A23" s="587"/>
      <c r="B23" s="588" t="s">
        <v>7</v>
      </c>
      <c r="C23" s="589"/>
      <c r="D23" s="589" t="s">
        <v>134</v>
      </c>
      <c r="E23" s="589"/>
      <c r="F23" s="589" t="s">
        <v>152</v>
      </c>
      <c r="G23" s="589"/>
      <c r="H23" s="589" t="s">
        <v>135</v>
      </c>
      <c r="I23" s="589"/>
      <c r="J23" s="589"/>
      <c r="K23" s="589"/>
      <c r="L23" s="589"/>
      <c r="M23" s="588"/>
      <c r="N23" s="588"/>
      <c r="O23" s="590"/>
      <c r="P23" s="418"/>
    </row>
    <row r="24" spans="1:16" s="419" customFormat="1" x14ac:dyDescent="0.3">
      <c r="A24" s="431"/>
      <c r="B24" s="428" t="s">
        <v>162</v>
      </c>
      <c r="C24" s="432"/>
      <c r="D24" s="429" t="s">
        <v>134</v>
      </c>
      <c r="E24" s="429"/>
      <c r="F24" s="429" t="s">
        <v>152</v>
      </c>
      <c r="G24" s="429"/>
      <c r="H24" s="429" t="s">
        <v>135</v>
      </c>
      <c r="I24" s="429"/>
      <c r="J24" s="429"/>
      <c r="K24" s="432"/>
      <c r="L24" s="429"/>
      <c r="M24" s="428"/>
      <c r="N24" s="428"/>
      <c r="O24" s="430"/>
      <c r="P24" s="418"/>
    </row>
    <row r="25" spans="1:16" s="419" customFormat="1" x14ac:dyDescent="0.3">
      <c r="A25" s="427"/>
      <c r="B25" s="433" t="s">
        <v>163</v>
      </c>
      <c r="C25" s="429"/>
      <c r="D25" s="432" t="s">
        <v>134</v>
      </c>
      <c r="E25" s="432"/>
      <c r="F25" s="432" t="s">
        <v>267</v>
      </c>
      <c r="G25" s="432"/>
      <c r="H25" s="432" t="s">
        <v>267</v>
      </c>
      <c r="I25" s="432"/>
      <c r="J25" s="432"/>
      <c r="K25" s="429"/>
      <c r="L25" s="434"/>
      <c r="M25" s="428"/>
      <c r="N25" s="428"/>
      <c r="O25" s="430"/>
      <c r="P25" s="418"/>
    </row>
    <row r="26" spans="1:16" s="419" customFormat="1" x14ac:dyDescent="0.3">
      <c r="A26" s="427"/>
      <c r="B26" s="433" t="s">
        <v>164</v>
      </c>
      <c r="C26" s="429"/>
      <c r="D26" s="432" t="s">
        <v>134</v>
      </c>
      <c r="E26" s="432"/>
      <c r="F26" s="432" t="s">
        <v>134</v>
      </c>
      <c r="G26" s="432"/>
      <c r="H26" s="432" t="s">
        <v>135</v>
      </c>
      <c r="I26" s="432"/>
      <c r="J26" s="432"/>
      <c r="K26" s="429"/>
      <c r="L26" s="434"/>
      <c r="M26" s="428"/>
      <c r="N26" s="428"/>
      <c r="O26" s="430"/>
      <c r="P26" s="418"/>
    </row>
    <row r="27" spans="1:16" s="419" customFormat="1" x14ac:dyDescent="0.3">
      <c r="A27" s="427"/>
      <c r="B27" s="428" t="s">
        <v>8</v>
      </c>
      <c r="C27" s="435"/>
      <c r="D27" s="429" t="s">
        <v>218</v>
      </c>
      <c r="E27" s="429"/>
      <c r="F27" s="429" t="s">
        <v>219</v>
      </c>
      <c r="G27" s="429"/>
      <c r="H27" s="429" t="s">
        <v>220</v>
      </c>
      <c r="I27" s="429"/>
      <c r="J27" s="429"/>
      <c r="K27" s="436"/>
      <c r="L27" s="436"/>
      <c r="M27" s="435"/>
      <c r="N27" s="436"/>
      <c r="O27" s="437"/>
      <c r="P27" s="418"/>
    </row>
    <row r="28" spans="1:16" s="419" customFormat="1" x14ac:dyDescent="0.3">
      <c r="A28" s="431"/>
      <c r="B28" s="428" t="s">
        <v>129</v>
      </c>
      <c r="C28" s="438"/>
      <c r="D28" s="436">
        <v>260500</v>
      </c>
      <c r="E28" s="436"/>
      <c r="F28" s="436">
        <v>4050</v>
      </c>
      <c r="G28" s="436"/>
      <c r="H28" s="436">
        <v>4050</v>
      </c>
      <c r="I28" s="436"/>
      <c r="J28" s="439"/>
      <c r="K28" s="440"/>
      <c r="L28" s="440"/>
      <c r="M28" s="438"/>
      <c r="N28" s="436">
        <f>SUM(D28:H28)</f>
        <v>268600</v>
      </c>
      <c r="O28" s="437"/>
      <c r="P28" s="418"/>
    </row>
    <row r="29" spans="1:16" s="419" customFormat="1" x14ac:dyDescent="0.3">
      <c r="A29" s="427"/>
      <c r="B29" s="428" t="s">
        <v>128</v>
      </c>
      <c r="C29" s="435"/>
      <c r="D29" s="436">
        <f>D28*D32</f>
        <v>12757.6749</v>
      </c>
      <c r="E29" s="436"/>
      <c r="F29" s="436">
        <f>F28*F32</f>
        <v>1598.20047</v>
      </c>
      <c r="G29" s="436"/>
      <c r="H29" s="436">
        <f>H28*H32</f>
        <v>1598.20047</v>
      </c>
      <c r="I29" s="436"/>
      <c r="J29" s="439"/>
      <c r="K29" s="436"/>
      <c r="L29" s="436"/>
      <c r="M29" s="435"/>
      <c r="N29" s="436">
        <f>SUM(D29:H29)+1</f>
        <v>15955.07584</v>
      </c>
      <c r="O29" s="437"/>
      <c r="P29" s="418"/>
    </row>
    <row r="30" spans="1:16" s="419" customFormat="1" x14ac:dyDescent="0.3">
      <c r="A30" s="427"/>
      <c r="B30" s="433" t="s">
        <v>130</v>
      </c>
      <c r="C30" s="435"/>
      <c r="D30" s="440">
        <f>D28*D31</f>
        <v>11644.662600000001</v>
      </c>
      <c r="E30" s="440"/>
      <c r="F30" s="440">
        <f>F28*F31</f>
        <v>1598.20047</v>
      </c>
      <c r="G30" s="440"/>
      <c r="H30" s="440">
        <f>H28*H31</f>
        <v>1598.20047</v>
      </c>
      <c r="I30" s="440"/>
      <c r="J30" s="441"/>
      <c r="K30" s="436"/>
      <c r="L30" s="436"/>
      <c r="M30" s="435"/>
      <c r="N30" s="440">
        <f>SUM(D30:I30)+1</f>
        <v>14842.063540000001</v>
      </c>
      <c r="O30" s="437"/>
      <c r="P30" s="418"/>
    </row>
    <row r="31" spans="1:16" s="569" customFormat="1" x14ac:dyDescent="0.3">
      <c r="A31" s="561"/>
      <c r="B31" s="562" t="s">
        <v>126</v>
      </c>
      <c r="C31" s="563"/>
      <c r="D31" s="564">
        <v>4.4701200000000003E-2</v>
      </c>
      <c r="E31" s="564"/>
      <c r="F31" s="564">
        <v>0.39461740000000001</v>
      </c>
      <c r="G31" s="564"/>
      <c r="H31" s="564">
        <v>0.39461740000000001</v>
      </c>
      <c r="I31" s="565"/>
      <c r="J31" s="565"/>
      <c r="K31" s="566"/>
      <c r="L31" s="566"/>
      <c r="M31" s="563"/>
      <c r="N31" s="563"/>
      <c r="O31" s="567"/>
      <c r="P31" s="568"/>
    </row>
    <row r="32" spans="1:16" s="569" customFormat="1" x14ac:dyDescent="0.3">
      <c r="A32" s="561"/>
      <c r="B32" s="562" t="s">
        <v>127</v>
      </c>
      <c r="C32" s="563"/>
      <c r="D32" s="564">
        <v>4.8973799999999998E-2</v>
      </c>
      <c r="E32" s="564"/>
      <c r="F32" s="564">
        <v>0.39461740000000001</v>
      </c>
      <c r="G32" s="564"/>
      <c r="H32" s="564">
        <v>0.39461740000000001</v>
      </c>
      <c r="I32" s="565"/>
      <c r="J32" s="565"/>
      <c r="K32" s="570"/>
      <c r="L32" s="571"/>
      <c r="M32" s="563"/>
      <c r="N32" s="570"/>
      <c r="O32" s="567"/>
      <c r="P32" s="568"/>
    </row>
    <row r="33" spans="1:17" s="419" customFormat="1" x14ac:dyDescent="0.3">
      <c r="A33" s="427"/>
      <c r="B33" s="428" t="s">
        <v>9</v>
      </c>
      <c r="C33" s="428"/>
      <c r="D33" s="434" t="s">
        <v>193</v>
      </c>
      <c r="E33" s="434"/>
      <c r="F33" s="434" t="s">
        <v>195</v>
      </c>
      <c r="G33" s="434"/>
      <c r="H33" s="434" t="s">
        <v>197</v>
      </c>
      <c r="I33" s="434"/>
      <c r="J33" s="434"/>
      <c r="K33" s="446"/>
      <c r="L33" s="447"/>
      <c r="M33" s="428"/>
      <c r="N33" s="428"/>
      <c r="O33" s="430"/>
      <c r="P33" s="418"/>
    </row>
    <row r="34" spans="1:17" s="419" customFormat="1" x14ac:dyDescent="0.3">
      <c r="A34" s="427"/>
      <c r="B34" s="428" t="s">
        <v>10</v>
      </c>
      <c r="C34" s="428"/>
      <c r="D34" s="447">
        <v>5.6687999999999999E-3</v>
      </c>
      <c r="E34" s="446"/>
      <c r="F34" s="447">
        <v>6.8688000000000004E-3</v>
      </c>
      <c r="G34" s="446"/>
      <c r="H34" s="447">
        <v>8.8687999999999996E-3</v>
      </c>
      <c r="I34" s="446"/>
      <c r="J34" s="447"/>
      <c r="K34" s="446"/>
      <c r="L34" s="447"/>
      <c r="M34" s="428"/>
      <c r="N34" s="446">
        <f>SUMPRODUCT(D34:H34,D29:H29)/N29</f>
        <v>6.1091873311830023E-3</v>
      </c>
      <c r="O34" s="430"/>
      <c r="P34" s="418"/>
    </row>
    <row r="35" spans="1:17" s="419" customFormat="1" x14ac:dyDescent="0.3">
      <c r="A35" s="427"/>
      <c r="B35" s="428" t="s">
        <v>11</v>
      </c>
      <c r="C35" s="428"/>
      <c r="D35" s="447">
        <v>5.2868999999999998E-3</v>
      </c>
      <c r="E35" s="446"/>
      <c r="F35" s="447">
        <v>6.4869000000000003E-3</v>
      </c>
      <c r="G35" s="446"/>
      <c r="H35" s="447">
        <v>8.4869000000000003E-3</v>
      </c>
      <c r="I35" s="447"/>
      <c r="J35" s="447"/>
      <c r="K35" s="446"/>
      <c r="L35" s="447"/>
      <c r="M35" s="428"/>
      <c r="N35" s="446" t="s">
        <v>165</v>
      </c>
      <c r="O35" s="430"/>
      <c r="P35" s="418"/>
    </row>
    <row r="36" spans="1:17" s="419" customFormat="1" x14ac:dyDescent="0.3">
      <c r="A36" s="427"/>
      <c r="B36" s="428" t="s">
        <v>12</v>
      </c>
      <c r="C36" s="428"/>
      <c r="D36" s="448">
        <v>40617</v>
      </c>
      <c r="E36" s="448"/>
      <c r="F36" s="448">
        <v>40617</v>
      </c>
      <c r="G36" s="448"/>
      <c r="H36" s="448">
        <v>40617</v>
      </c>
      <c r="I36" s="448"/>
      <c r="J36" s="448"/>
      <c r="K36" s="434"/>
      <c r="L36" s="434"/>
      <c r="M36" s="428"/>
      <c r="N36" s="428"/>
      <c r="O36" s="430"/>
      <c r="P36" s="418"/>
    </row>
    <row r="37" spans="1:17" s="419" customFormat="1" x14ac:dyDescent="0.3">
      <c r="A37" s="427"/>
      <c r="B37" s="428" t="s">
        <v>13</v>
      </c>
      <c r="C37" s="428"/>
      <c r="D37" s="448">
        <v>40983</v>
      </c>
      <c r="E37" s="434"/>
      <c r="F37" s="448">
        <v>40983</v>
      </c>
      <c r="G37" s="434"/>
      <c r="H37" s="448">
        <v>40983</v>
      </c>
      <c r="I37" s="434"/>
      <c r="J37" s="448"/>
      <c r="K37" s="434"/>
      <c r="L37" s="434"/>
      <c r="M37" s="428"/>
      <c r="N37" s="428"/>
      <c r="O37" s="430"/>
      <c r="P37" s="418"/>
    </row>
    <row r="38" spans="1:17" s="419" customFormat="1" x14ac:dyDescent="0.3">
      <c r="A38" s="427"/>
      <c r="B38" s="428" t="s">
        <v>118</v>
      </c>
      <c r="C38" s="428"/>
      <c r="D38" s="434" t="s">
        <v>193</v>
      </c>
      <c r="E38" s="434"/>
      <c r="F38" s="434" t="s">
        <v>195</v>
      </c>
      <c r="G38" s="434"/>
      <c r="H38" s="434" t="s">
        <v>197</v>
      </c>
      <c r="I38" s="434"/>
      <c r="J38" s="434"/>
      <c r="K38" s="449"/>
      <c r="L38" s="449"/>
      <c r="M38" s="449"/>
      <c r="N38" s="449"/>
      <c r="O38" s="430"/>
      <c r="P38" s="418"/>
    </row>
    <row r="39" spans="1:17" s="419" customFormat="1" x14ac:dyDescent="0.3">
      <c r="A39" s="427"/>
      <c r="B39" s="428"/>
      <c r="C39" s="428"/>
      <c r="D39" s="434"/>
      <c r="E39" s="434"/>
      <c r="F39" s="447"/>
      <c r="G39" s="434"/>
      <c r="H39" s="447"/>
      <c r="I39" s="434"/>
      <c r="J39" s="434"/>
      <c r="K39" s="428"/>
      <c r="L39" s="428"/>
      <c r="M39" s="428"/>
      <c r="N39" s="446" t="s">
        <v>165</v>
      </c>
      <c r="O39" s="430"/>
      <c r="P39" s="418"/>
    </row>
    <row r="40" spans="1:17" s="419" customFormat="1" x14ac:dyDescent="0.3">
      <c r="A40" s="427"/>
      <c r="B40" s="428" t="s">
        <v>156</v>
      </c>
      <c r="C40" s="428"/>
      <c r="D40" s="434"/>
      <c r="E40" s="434"/>
      <c r="F40" s="434"/>
      <c r="G40" s="434"/>
      <c r="H40" s="434"/>
      <c r="I40" s="434"/>
      <c r="J40" s="434"/>
      <c r="K40" s="428"/>
      <c r="L40" s="428"/>
      <c r="M40" s="428"/>
      <c r="N40" s="446">
        <f>SUM(F28:H28)/SUM(D28)</f>
        <v>3.109404990403071E-2</v>
      </c>
      <c r="O40" s="430"/>
      <c r="P40" s="418"/>
    </row>
    <row r="41" spans="1:17" s="419" customFormat="1" x14ac:dyDescent="0.3">
      <c r="A41" s="427"/>
      <c r="B41" s="428" t="s">
        <v>157</v>
      </c>
      <c r="C41" s="428"/>
      <c r="D41" s="428"/>
      <c r="E41" s="428"/>
      <c r="F41" s="428"/>
      <c r="G41" s="428"/>
      <c r="H41" s="428"/>
      <c r="I41" s="428"/>
      <c r="J41" s="428"/>
      <c r="K41" s="428"/>
      <c r="L41" s="428"/>
      <c r="M41" s="428"/>
      <c r="N41" s="446">
        <f>SUM(F30:H30)/SUM(D30)</f>
        <v>0.27449493813586318</v>
      </c>
      <c r="O41" s="430"/>
      <c r="P41" s="418"/>
    </row>
    <row r="42" spans="1:17" s="419" customFormat="1" x14ac:dyDescent="0.3">
      <c r="A42" s="427"/>
      <c r="B42" s="428" t="s">
        <v>158</v>
      </c>
      <c r="C42" s="428"/>
      <c r="D42" s="428"/>
      <c r="E42" s="428"/>
      <c r="F42" s="428"/>
      <c r="G42" s="428"/>
      <c r="H42" s="428"/>
      <c r="I42" s="428"/>
      <c r="J42" s="428"/>
      <c r="K42" s="428"/>
      <c r="L42" s="434" t="s">
        <v>103</v>
      </c>
      <c r="M42" s="434" t="s">
        <v>109</v>
      </c>
      <c r="N42" s="436">
        <f>+N28/2-SUM(F28:H28)</f>
        <v>126200</v>
      </c>
      <c r="O42" s="430"/>
      <c r="P42" s="418"/>
    </row>
    <row r="43" spans="1:17" s="419" customFormat="1" x14ac:dyDescent="0.3">
      <c r="A43" s="427"/>
      <c r="B43" s="428"/>
      <c r="C43" s="428"/>
      <c r="D43" s="428"/>
      <c r="E43" s="428"/>
      <c r="F43" s="428"/>
      <c r="G43" s="428"/>
      <c r="H43" s="428"/>
      <c r="I43" s="428"/>
      <c r="J43" s="428"/>
      <c r="K43" s="428"/>
      <c r="L43" s="428"/>
      <c r="M43" s="428"/>
      <c r="N43" s="450"/>
      <c r="O43" s="430"/>
      <c r="P43" s="418"/>
    </row>
    <row r="44" spans="1:17" s="419" customFormat="1" x14ac:dyDescent="0.3">
      <c r="A44" s="427"/>
      <c r="B44" s="428" t="s">
        <v>198</v>
      </c>
      <c r="C44" s="428"/>
      <c r="D44" s="428"/>
      <c r="E44" s="428"/>
      <c r="F44" s="428"/>
      <c r="G44" s="428"/>
      <c r="H44" s="428"/>
      <c r="I44" s="428"/>
      <c r="J44" s="428"/>
      <c r="K44" s="428"/>
      <c r="L44" s="434"/>
      <c r="M44" s="434"/>
      <c r="N44" s="451" t="s">
        <v>111</v>
      </c>
      <c r="O44" s="430"/>
      <c r="P44" s="418"/>
    </row>
    <row r="45" spans="1:17" s="419" customFormat="1" x14ac:dyDescent="0.3">
      <c r="A45" s="427"/>
      <c r="B45" s="433" t="s">
        <v>168</v>
      </c>
      <c r="C45" s="433"/>
      <c r="D45" s="433"/>
      <c r="E45" s="433"/>
      <c r="F45" s="433"/>
      <c r="G45" s="433"/>
      <c r="H45" s="433"/>
      <c r="I45" s="433"/>
      <c r="J45" s="433"/>
      <c r="K45" s="433"/>
      <c r="L45" s="452"/>
      <c r="M45" s="452"/>
      <c r="N45" s="453">
        <v>43084</v>
      </c>
      <c r="O45" s="430"/>
      <c r="P45" s="418"/>
    </row>
    <row r="46" spans="1:17" s="419" customFormat="1" x14ac:dyDescent="0.3">
      <c r="A46" s="427"/>
      <c r="B46" s="428" t="s">
        <v>119</v>
      </c>
      <c r="C46" s="428"/>
      <c r="D46" s="454"/>
      <c r="E46" s="454"/>
      <c r="F46" s="454"/>
      <c r="G46" s="454"/>
      <c r="H46" s="454"/>
      <c r="I46" s="454"/>
      <c r="J46" s="428">
        <f>+N46-L46+1</f>
        <v>92</v>
      </c>
      <c r="K46" s="454"/>
      <c r="L46" s="455">
        <v>42901</v>
      </c>
      <c r="M46" s="456"/>
      <c r="N46" s="455">
        <v>42992</v>
      </c>
      <c r="O46" s="430"/>
      <c r="P46" s="418"/>
    </row>
    <row r="47" spans="1:17" s="419" customFormat="1" x14ac:dyDescent="0.3">
      <c r="A47" s="427"/>
      <c r="B47" s="428" t="s">
        <v>120</v>
      </c>
      <c r="C47" s="428"/>
      <c r="D47" s="428"/>
      <c r="E47" s="428"/>
      <c r="F47" s="428"/>
      <c r="G47" s="428"/>
      <c r="H47" s="428"/>
      <c r="I47" s="428"/>
      <c r="J47" s="428">
        <f>+N47-L47+1</f>
        <v>91</v>
      </c>
      <c r="K47" s="428"/>
      <c r="L47" s="455">
        <v>42993</v>
      </c>
      <c r="M47" s="456"/>
      <c r="N47" s="455">
        <v>43083</v>
      </c>
      <c r="O47" s="430"/>
      <c r="P47" s="418"/>
    </row>
    <row r="48" spans="1:17" s="419" customFormat="1" x14ac:dyDescent="0.3">
      <c r="A48" s="427"/>
      <c r="B48" s="428" t="s">
        <v>199</v>
      </c>
      <c r="C48" s="428"/>
      <c r="D48" s="428"/>
      <c r="E48" s="428"/>
      <c r="F48" s="428"/>
      <c r="G48" s="428"/>
      <c r="H48" s="428"/>
      <c r="I48" s="428"/>
      <c r="J48" s="428"/>
      <c r="K48" s="428"/>
      <c r="L48" s="455"/>
      <c r="M48" s="456"/>
      <c r="N48" s="455" t="s">
        <v>143</v>
      </c>
      <c r="O48" s="430"/>
      <c r="P48" s="418"/>
      <c r="Q48" s="457"/>
    </row>
    <row r="49" spans="1:16" s="419" customFormat="1" x14ac:dyDescent="0.3">
      <c r="A49" s="427"/>
      <c r="B49" s="428" t="s">
        <v>14</v>
      </c>
      <c r="C49" s="428"/>
      <c r="D49" s="428"/>
      <c r="E49" s="428"/>
      <c r="F49" s="428"/>
      <c r="G49" s="428"/>
      <c r="H49" s="428"/>
      <c r="I49" s="428"/>
      <c r="J49" s="428"/>
      <c r="K49" s="428"/>
      <c r="L49" s="455"/>
      <c r="M49" s="456"/>
      <c r="N49" s="455">
        <v>43070</v>
      </c>
      <c r="O49" s="430"/>
      <c r="P49" s="418"/>
    </row>
    <row r="50" spans="1:16" s="419" customFormat="1" x14ac:dyDescent="0.3">
      <c r="A50" s="415"/>
      <c r="B50" s="458"/>
      <c r="C50" s="458"/>
      <c r="D50" s="458"/>
      <c r="E50" s="458"/>
      <c r="F50" s="458"/>
      <c r="G50" s="458"/>
      <c r="H50" s="458"/>
      <c r="I50" s="458"/>
      <c r="J50" s="458"/>
      <c r="K50" s="458"/>
      <c r="L50" s="459"/>
      <c r="M50" s="460"/>
      <c r="N50" s="459"/>
      <c r="O50" s="458"/>
      <c r="P50" s="418"/>
    </row>
    <row r="51" spans="1:16" s="419" customFormat="1" x14ac:dyDescent="0.3">
      <c r="A51" s="415"/>
      <c r="B51" s="416"/>
      <c r="C51" s="416"/>
      <c r="D51" s="416"/>
      <c r="E51" s="416"/>
      <c r="F51" s="416"/>
      <c r="G51" s="416"/>
      <c r="H51" s="416"/>
      <c r="I51" s="416"/>
      <c r="J51" s="416"/>
      <c r="K51" s="416"/>
      <c r="L51" s="461"/>
      <c r="M51" s="462"/>
      <c r="N51" s="461"/>
      <c r="O51" s="416"/>
      <c r="P51" s="418"/>
    </row>
    <row r="52" spans="1:16" s="419" customFormat="1" ht="18.600000000000001" thickBot="1" x14ac:dyDescent="0.4">
      <c r="A52" s="463"/>
      <c r="B52" s="464" t="s">
        <v>297</v>
      </c>
      <c r="C52" s="465"/>
      <c r="D52" s="465"/>
      <c r="E52" s="465"/>
      <c r="F52" s="465"/>
      <c r="G52" s="465"/>
      <c r="H52" s="465"/>
      <c r="I52" s="465"/>
      <c r="J52" s="465"/>
      <c r="K52" s="465"/>
      <c r="L52" s="465"/>
      <c r="M52" s="465"/>
      <c r="N52" s="466"/>
      <c r="O52" s="467"/>
      <c r="P52" s="418"/>
    </row>
    <row r="53" spans="1:16" x14ac:dyDescent="0.3">
      <c r="A53" s="585"/>
      <c r="B53" s="595" t="s">
        <v>15</v>
      </c>
      <c r="C53" s="586"/>
      <c r="D53" s="586"/>
      <c r="E53" s="586"/>
      <c r="F53" s="586"/>
      <c r="G53" s="586"/>
      <c r="H53" s="586"/>
      <c r="I53" s="586"/>
      <c r="J53" s="586"/>
      <c r="K53" s="586"/>
      <c r="L53" s="586"/>
      <c r="M53" s="586"/>
      <c r="N53" s="596"/>
      <c r="O53" s="586"/>
      <c r="P53" s="402"/>
    </row>
    <row r="54" spans="1:16" x14ac:dyDescent="0.3">
      <c r="A54" s="404"/>
      <c r="B54" s="413"/>
      <c r="C54" s="406"/>
      <c r="D54" s="406"/>
      <c r="E54" s="406"/>
      <c r="F54" s="406"/>
      <c r="G54" s="406"/>
      <c r="H54" s="406"/>
      <c r="I54" s="406"/>
      <c r="J54" s="406"/>
      <c r="K54" s="406"/>
      <c r="L54" s="406"/>
      <c r="M54" s="406"/>
      <c r="N54" s="468"/>
      <c r="O54" s="406"/>
      <c r="P54" s="402"/>
    </row>
    <row r="55" spans="1:16" s="569" customFormat="1" ht="46.8" x14ac:dyDescent="0.3">
      <c r="A55" s="572"/>
      <c r="B55" s="573" t="s">
        <v>16</v>
      </c>
      <c r="C55" s="574"/>
      <c r="D55" s="574" t="s">
        <v>91</v>
      </c>
      <c r="E55" s="574"/>
      <c r="F55" s="574" t="s">
        <v>93</v>
      </c>
      <c r="G55" s="574"/>
      <c r="H55" s="574" t="s">
        <v>95</v>
      </c>
      <c r="I55" s="574"/>
      <c r="J55" s="574" t="s">
        <v>97</v>
      </c>
      <c r="K55" s="574"/>
      <c r="L55" s="574" t="s">
        <v>104</v>
      </c>
      <c r="M55" s="574"/>
      <c r="N55" s="575" t="s">
        <v>112</v>
      </c>
      <c r="O55" s="576"/>
      <c r="P55" s="568"/>
    </row>
    <row r="56" spans="1:16" s="419" customFormat="1" x14ac:dyDescent="0.3">
      <c r="A56" s="427"/>
      <c r="B56" s="428" t="s">
        <v>17</v>
      </c>
      <c r="C56" s="469"/>
      <c r="D56" s="469">
        <v>268565</v>
      </c>
      <c r="E56" s="469"/>
      <c r="F56" s="470">
        <v>15955</v>
      </c>
      <c r="G56" s="469"/>
      <c r="H56" s="469">
        <v>1113</v>
      </c>
      <c r="I56" s="469"/>
      <c r="J56" s="469">
        <v>0</v>
      </c>
      <c r="K56" s="469"/>
      <c r="L56" s="469">
        <v>0</v>
      </c>
      <c r="M56" s="469"/>
      <c r="N56" s="470">
        <f>+F56-H56+J56-L56</f>
        <v>14842</v>
      </c>
      <c r="O56" s="430"/>
      <c r="P56" s="418"/>
    </row>
    <row r="57" spans="1:16" s="419" customFormat="1" x14ac:dyDescent="0.3">
      <c r="A57" s="427"/>
      <c r="B57" s="428" t="s">
        <v>209</v>
      </c>
      <c r="C57" s="469"/>
      <c r="D57" s="469">
        <v>756</v>
      </c>
      <c r="E57" s="469"/>
      <c r="F57" s="470">
        <v>72</v>
      </c>
      <c r="G57" s="469"/>
      <c r="H57" s="469">
        <v>2</v>
      </c>
      <c r="I57" s="469"/>
      <c r="J57" s="469">
        <v>0</v>
      </c>
      <c r="K57" s="469"/>
      <c r="L57" s="469">
        <v>0</v>
      </c>
      <c r="M57" s="469"/>
      <c r="N57" s="470">
        <f>+F57-H57</f>
        <v>70</v>
      </c>
      <c r="O57" s="430"/>
      <c r="P57" s="418"/>
    </row>
    <row r="58" spans="1:16" s="419" customFormat="1" x14ac:dyDescent="0.3">
      <c r="A58" s="427"/>
      <c r="B58" s="428"/>
      <c r="C58" s="469"/>
      <c r="D58" s="469"/>
      <c r="E58" s="469"/>
      <c r="F58" s="470"/>
      <c r="G58" s="469"/>
      <c r="H58" s="469"/>
      <c r="I58" s="469"/>
      <c r="J58" s="469"/>
      <c r="K58" s="469"/>
      <c r="L58" s="469"/>
      <c r="M58" s="469"/>
      <c r="N58" s="470"/>
      <c r="O58" s="430"/>
      <c r="P58" s="418"/>
    </row>
    <row r="59" spans="1:16" s="419" customFormat="1" x14ac:dyDescent="0.3">
      <c r="A59" s="427"/>
      <c r="B59" s="428" t="s">
        <v>19</v>
      </c>
      <c r="C59" s="469"/>
      <c r="D59" s="469">
        <f>SUM(D56:D58)</f>
        <v>269321</v>
      </c>
      <c r="E59" s="469"/>
      <c r="F59" s="469">
        <f>F56+F57</f>
        <v>16027</v>
      </c>
      <c r="G59" s="469"/>
      <c r="H59" s="469">
        <f>SUM(H56:H58)</f>
        <v>1115</v>
      </c>
      <c r="I59" s="469"/>
      <c r="J59" s="469">
        <f>SUM(J56:J58)</f>
        <v>0</v>
      </c>
      <c r="K59" s="469"/>
      <c r="L59" s="469">
        <f>SUM(L56:L58)</f>
        <v>0</v>
      </c>
      <c r="M59" s="469"/>
      <c r="N59" s="469">
        <f>SUM(N56:N58)</f>
        <v>14912</v>
      </c>
      <c r="O59" s="430"/>
      <c r="P59" s="418"/>
    </row>
    <row r="60" spans="1:16" x14ac:dyDescent="0.3">
      <c r="A60" s="404"/>
      <c r="B60" s="471"/>
      <c r="C60" s="472"/>
      <c r="D60" s="472"/>
      <c r="E60" s="472"/>
      <c r="F60" s="472"/>
      <c r="G60" s="472"/>
      <c r="H60" s="472"/>
      <c r="I60" s="472"/>
      <c r="J60" s="472"/>
      <c r="K60" s="472"/>
      <c r="L60" s="472"/>
      <c r="M60" s="472"/>
      <c r="N60" s="473"/>
      <c r="O60" s="471"/>
      <c r="P60" s="402"/>
    </row>
    <row r="61" spans="1:16" x14ac:dyDescent="0.3">
      <c r="A61" s="404"/>
      <c r="B61" s="408" t="s">
        <v>20</v>
      </c>
      <c r="C61" s="474"/>
      <c r="D61" s="474"/>
      <c r="E61" s="474"/>
      <c r="F61" s="474"/>
      <c r="G61" s="474"/>
      <c r="H61" s="474"/>
      <c r="I61" s="474"/>
      <c r="J61" s="474"/>
      <c r="K61" s="474"/>
      <c r="L61" s="474"/>
      <c r="M61" s="474"/>
      <c r="N61" s="475"/>
      <c r="O61" s="406"/>
      <c r="P61" s="402"/>
    </row>
    <row r="62" spans="1:16" x14ac:dyDescent="0.3">
      <c r="A62" s="404"/>
      <c r="B62" s="406"/>
      <c r="C62" s="474"/>
      <c r="D62" s="474"/>
      <c r="E62" s="474"/>
      <c r="F62" s="474"/>
      <c r="G62" s="474"/>
      <c r="H62" s="474"/>
      <c r="I62" s="474"/>
      <c r="J62" s="474"/>
      <c r="K62" s="474"/>
      <c r="L62" s="474"/>
      <c r="M62" s="474"/>
      <c r="N62" s="475"/>
      <c r="O62" s="406"/>
      <c r="P62" s="402"/>
    </row>
    <row r="63" spans="1:16" s="419" customFormat="1" x14ac:dyDescent="0.3">
      <c r="A63" s="427"/>
      <c r="B63" s="428" t="s">
        <v>17</v>
      </c>
      <c r="C63" s="469"/>
      <c r="D63" s="469"/>
      <c r="E63" s="469"/>
      <c r="F63" s="469"/>
      <c r="G63" s="469"/>
      <c r="H63" s="469"/>
      <c r="I63" s="469"/>
      <c r="J63" s="469"/>
      <c r="K63" s="469"/>
      <c r="L63" s="469"/>
      <c r="M63" s="469"/>
      <c r="N63" s="469"/>
      <c r="O63" s="430"/>
      <c r="P63" s="418"/>
    </row>
    <row r="64" spans="1:16" s="419" customFormat="1" x14ac:dyDescent="0.3">
      <c r="A64" s="427"/>
      <c r="B64" s="428" t="s">
        <v>18</v>
      </c>
      <c r="C64" s="469"/>
      <c r="D64" s="469"/>
      <c r="E64" s="469"/>
      <c r="F64" s="469"/>
      <c r="G64" s="469"/>
      <c r="H64" s="469"/>
      <c r="I64" s="469"/>
      <c r="J64" s="469"/>
      <c r="K64" s="469"/>
      <c r="L64" s="469"/>
      <c r="M64" s="469"/>
      <c r="N64" s="469"/>
      <c r="O64" s="430"/>
      <c r="P64" s="418"/>
    </row>
    <row r="65" spans="1:16" s="419" customFormat="1" x14ac:dyDescent="0.3">
      <c r="A65" s="427"/>
      <c r="B65" s="428"/>
      <c r="C65" s="469"/>
      <c r="D65" s="469"/>
      <c r="E65" s="469"/>
      <c r="F65" s="469"/>
      <c r="G65" s="469"/>
      <c r="H65" s="469"/>
      <c r="I65" s="469"/>
      <c r="J65" s="469"/>
      <c r="K65" s="469"/>
      <c r="L65" s="469"/>
      <c r="M65" s="469"/>
      <c r="N65" s="469"/>
      <c r="O65" s="430"/>
      <c r="P65" s="418"/>
    </row>
    <row r="66" spans="1:16" s="419" customFormat="1" x14ac:dyDescent="0.3">
      <c r="A66" s="427"/>
      <c r="B66" s="428" t="s">
        <v>19</v>
      </c>
      <c r="C66" s="469"/>
      <c r="D66" s="469"/>
      <c r="E66" s="469"/>
      <c r="F66" s="469"/>
      <c r="G66" s="469"/>
      <c r="H66" s="469"/>
      <c r="I66" s="469"/>
      <c r="J66" s="469"/>
      <c r="K66" s="469"/>
      <c r="L66" s="469"/>
      <c r="M66" s="469"/>
      <c r="N66" s="469"/>
      <c r="O66" s="430"/>
      <c r="P66" s="418"/>
    </row>
    <row r="67" spans="1:16" s="419" customFormat="1" x14ac:dyDescent="0.3">
      <c r="A67" s="427"/>
      <c r="B67" s="428"/>
      <c r="C67" s="469"/>
      <c r="D67" s="469"/>
      <c r="E67" s="469"/>
      <c r="F67" s="469"/>
      <c r="G67" s="469"/>
      <c r="H67" s="469"/>
      <c r="I67" s="469"/>
      <c r="J67" s="469"/>
      <c r="K67" s="469"/>
      <c r="L67" s="469"/>
      <c r="M67" s="469"/>
      <c r="N67" s="469"/>
      <c r="O67" s="430"/>
      <c r="P67" s="418"/>
    </row>
    <row r="68" spans="1:16" s="419" customFormat="1" x14ac:dyDescent="0.3">
      <c r="A68" s="427"/>
      <c r="B68" s="428" t="s">
        <v>209</v>
      </c>
      <c r="C68" s="469"/>
      <c r="D68" s="469">
        <v>-756</v>
      </c>
      <c r="E68" s="469"/>
      <c r="F68" s="469">
        <v>-72</v>
      </c>
      <c r="G68" s="469"/>
      <c r="H68" s="469"/>
      <c r="I68" s="469"/>
      <c r="J68" s="469"/>
      <c r="K68" s="469"/>
      <c r="L68" s="469"/>
      <c r="M68" s="469"/>
      <c r="N68" s="470">
        <f>-N57</f>
        <v>-70</v>
      </c>
      <c r="O68" s="430"/>
      <c r="P68" s="418"/>
    </row>
    <row r="69" spans="1:16" s="419" customFormat="1" x14ac:dyDescent="0.3">
      <c r="A69" s="427"/>
      <c r="B69" s="428" t="s">
        <v>21</v>
      </c>
      <c r="C69" s="469"/>
      <c r="D69" s="469">
        <v>0</v>
      </c>
      <c r="E69" s="469"/>
      <c r="F69" s="469">
        <v>0</v>
      </c>
      <c r="G69" s="469"/>
      <c r="H69" s="469"/>
      <c r="I69" s="469"/>
      <c r="J69" s="469"/>
      <c r="K69" s="469"/>
      <c r="L69" s="469"/>
      <c r="M69" s="469"/>
      <c r="N69" s="469">
        <f>SUM(D69:J69)</f>
        <v>0</v>
      </c>
      <c r="O69" s="430"/>
      <c r="P69" s="418"/>
    </row>
    <row r="70" spans="1:16" s="419" customFormat="1" x14ac:dyDescent="0.3">
      <c r="A70" s="427"/>
      <c r="B70" s="428" t="s">
        <v>210</v>
      </c>
      <c r="C70" s="469"/>
      <c r="D70" s="469">
        <v>35</v>
      </c>
      <c r="E70" s="469"/>
      <c r="F70" s="469">
        <v>0</v>
      </c>
      <c r="G70" s="469"/>
      <c r="H70" s="469">
        <v>0</v>
      </c>
      <c r="I70" s="469"/>
      <c r="J70" s="469"/>
      <c r="K70" s="469"/>
      <c r="L70" s="469"/>
      <c r="M70" s="469"/>
      <c r="N70" s="469">
        <f>+F70+H70</f>
        <v>0</v>
      </c>
      <c r="O70" s="430"/>
      <c r="P70" s="418"/>
    </row>
    <row r="71" spans="1:16" s="419" customFormat="1" x14ac:dyDescent="0.3">
      <c r="A71" s="427"/>
      <c r="B71" s="428" t="s">
        <v>23</v>
      </c>
      <c r="C71" s="469"/>
      <c r="D71" s="469">
        <v>0</v>
      </c>
      <c r="E71" s="469"/>
      <c r="F71" s="469">
        <v>0</v>
      </c>
      <c r="G71" s="469"/>
      <c r="H71" s="469"/>
      <c r="I71" s="469"/>
      <c r="J71" s="469"/>
      <c r="K71" s="469"/>
      <c r="L71" s="469"/>
      <c r="M71" s="469"/>
      <c r="N71" s="469">
        <v>0</v>
      </c>
      <c r="O71" s="430"/>
      <c r="P71" s="418"/>
    </row>
    <row r="72" spans="1:16" s="419" customFormat="1" x14ac:dyDescent="0.3">
      <c r="A72" s="427"/>
      <c r="B72" s="428" t="s">
        <v>24</v>
      </c>
      <c r="C72" s="469"/>
      <c r="D72" s="469">
        <f>SUM(D59:D71)</f>
        <v>268600</v>
      </c>
      <c r="E72" s="469"/>
      <c r="F72" s="469">
        <f>SUM(F59:F71)</f>
        <v>15955</v>
      </c>
      <c r="G72" s="469"/>
      <c r="H72" s="469"/>
      <c r="I72" s="469"/>
      <c r="J72" s="469"/>
      <c r="K72" s="469"/>
      <c r="L72" s="469"/>
      <c r="M72" s="469"/>
      <c r="N72" s="469">
        <f>SUM(N59:N71)</f>
        <v>14842</v>
      </c>
      <c r="O72" s="430"/>
      <c r="P72" s="418"/>
    </row>
    <row r="73" spans="1:16" x14ac:dyDescent="0.3">
      <c r="A73" s="404"/>
      <c r="B73" s="476"/>
      <c r="C73" s="477"/>
      <c r="D73" s="477"/>
      <c r="E73" s="477"/>
      <c r="F73" s="477"/>
      <c r="G73" s="477"/>
      <c r="H73" s="477"/>
      <c r="I73" s="477"/>
      <c r="J73" s="477"/>
      <c r="K73" s="477"/>
      <c r="L73" s="477"/>
      <c r="M73" s="477"/>
      <c r="N73" s="477"/>
      <c r="O73" s="476"/>
      <c r="P73" s="402"/>
    </row>
    <row r="74" spans="1:16" x14ac:dyDescent="0.3">
      <c r="A74" s="404"/>
      <c r="B74" s="478"/>
      <c r="C74" s="478"/>
      <c r="D74" s="478"/>
      <c r="E74" s="478"/>
      <c r="F74" s="478"/>
      <c r="G74" s="478"/>
      <c r="H74" s="478"/>
      <c r="I74" s="478"/>
      <c r="J74" s="478"/>
      <c r="K74" s="478"/>
      <c r="L74" s="478"/>
      <c r="M74" s="478"/>
      <c r="N74" s="478"/>
      <c r="O74" s="478"/>
      <c r="P74" s="402"/>
    </row>
    <row r="75" spans="1:16" x14ac:dyDescent="0.3">
      <c r="A75" s="585"/>
      <c r="B75" s="599" t="s">
        <v>25</v>
      </c>
      <c r="C75" s="599"/>
      <c r="D75" s="600" t="s">
        <v>92</v>
      </c>
      <c r="E75" s="601"/>
      <c r="F75" s="602">
        <f>+L183</f>
        <v>43069</v>
      </c>
      <c r="G75" s="601"/>
      <c r="H75" s="601"/>
      <c r="I75" s="601"/>
      <c r="J75" s="601"/>
      <c r="K75" s="601"/>
      <c r="L75" s="601" t="s">
        <v>105</v>
      </c>
      <c r="M75" s="601"/>
      <c r="N75" s="601" t="s">
        <v>113</v>
      </c>
      <c r="O75" s="594"/>
      <c r="P75" s="402"/>
    </row>
    <row r="76" spans="1:16" s="419" customFormat="1" x14ac:dyDescent="0.3">
      <c r="A76" s="587"/>
      <c r="B76" s="588" t="s">
        <v>26</v>
      </c>
      <c r="C76" s="588"/>
      <c r="D76" s="588"/>
      <c r="E76" s="588"/>
      <c r="F76" s="588"/>
      <c r="G76" s="588"/>
      <c r="H76" s="588"/>
      <c r="I76" s="588"/>
      <c r="J76" s="588"/>
      <c r="K76" s="588"/>
      <c r="L76" s="597">
        <v>0</v>
      </c>
      <c r="M76" s="588"/>
      <c r="N76" s="598">
        <v>0</v>
      </c>
      <c r="O76" s="590"/>
      <c r="P76" s="418"/>
    </row>
    <row r="77" spans="1:16" s="419" customFormat="1" x14ac:dyDescent="0.3">
      <c r="A77" s="427"/>
      <c r="B77" s="428" t="s">
        <v>27</v>
      </c>
      <c r="C77" s="428"/>
      <c r="D77" s="449"/>
      <c r="E77" s="428"/>
      <c r="F77" s="479"/>
      <c r="G77" s="428"/>
      <c r="H77" s="428"/>
      <c r="I77" s="428"/>
      <c r="J77" s="428"/>
      <c r="K77" s="428"/>
      <c r="L77" s="469">
        <f>1113</f>
        <v>1113</v>
      </c>
      <c r="M77" s="428"/>
      <c r="N77" s="470"/>
      <c r="O77" s="430"/>
      <c r="P77" s="418"/>
    </row>
    <row r="78" spans="1:16" s="419" customFormat="1" x14ac:dyDescent="0.3">
      <c r="A78" s="427"/>
      <c r="B78" s="428" t="s">
        <v>176</v>
      </c>
      <c r="C78" s="428"/>
      <c r="D78" s="449"/>
      <c r="E78" s="428"/>
      <c r="F78" s="479"/>
      <c r="G78" s="428"/>
      <c r="H78" s="428"/>
      <c r="I78" s="428"/>
      <c r="J78" s="428"/>
      <c r="K78" s="428"/>
      <c r="L78" s="469"/>
      <c r="M78" s="428"/>
      <c r="N78" s="470">
        <f>477+51+57-399-26-34</f>
        <v>126</v>
      </c>
      <c r="O78" s="430"/>
      <c r="P78" s="418"/>
    </row>
    <row r="79" spans="1:16" s="419" customFormat="1" x14ac:dyDescent="0.3">
      <c r="A79" s="427"/>
      <c r="B79" s="428" t="s">
        <v>174</v>
      </c>
      <c r="C79" s="428"/>
      <c r="D79" s="449"/>
      <c r="E79" s="428"/>
      <c r="F79" s="479"/>
      <c r="G79" s="428"/>
      <c r="H79" s="428"/>
      <c r="I79" s="428"/>
      <c r="J79" s="428"/>
      <c r="K79" s="428"/>
      <c r="L79" s="469"/>
      <c r="M79" s="428"/>
      <c r="N79" s="470">
        <v>17</v>
      </c>
      <c r="O79" s="430"/>
      <c r="P79" s="418"/>
    </row>
    <row r="80" spans="1:16" s="419" customFormat="1" x14ac:dyDescent="0.3">
      <c r="A80" s="427"/>
      <c r="B80" s="428" t="s">
        <v>175</v>
      </c>
      <c r="C80" s="428"/>
      <c r="D80" s="449"/>
      <c r="E80" s="428"/>
      <c r="F80" s="479"/>
      <c r="G80" s="428"/>
      <c r="H80" s="428"/>
      <c r="I80" s="428"/>
      <c r="J80" s="428"/>
      <c r="K80" s="428"/>
      <c r="L80" s="469"/>
      <c r="M80" s="428"/>
      <c r="N80" s="470">
        <v>0</v>
      </c>
      <c r="O80" s="430"/>
      <c r="P80" s="418"/>
    </row>
    <row r="81" spans="1:17" s="419" customFormat="1" x14ac:dyDescent="0.3">
      <c r="A81" s="427"/>
      <c r="B81" s="428" t="s">
        <v>131</v>
      </c>
      <c r="C81" s="428"/>
      <c r="D81" s="428"/>
      <c r="E81" s="428"/>
      <c r="F81" s="428"/>
      <c r="G81" s="428"/>
      <c r="H81" s="428"/>
      <c r="I81" s="428"/>
      <c r="J81" s="428"/>
      <c r="K81" s="428"/>
      <c r="L81" s="469"/>
      <c r="M81" s="428"/>
      <c r="N81" s="470">
        <v>0</v>
      </c>
      <c r="O81" s="430"/>
      <c r="P81" s="418"/>
    </row>
    <row r="82" spans="1:17" s="419" customFormat="1" x14ac:dyDescent="0.3">
      <c r="A82" s="427"/>
      <c r="B82" s="428" t="s">
        <v>211</v>
      </c>
      <c r="C82" s="428"/>
      <c r="D82" s="428"/>
      <c r="E82" s="428"/>
      <c r="F82" s="428"/>
      <c r="G82" s="428"/>
      <c r="H82" s="428"/>
      <c r="I82" s="428"/>
      <c r="J82" s="428"/>
      <c r="K82" s="428"/>
      <c r="L82" s="469"/>
      <c r="M82" s="428"/>
      <c r="N82" s="470">
        <v>0</v>
      </c>
      <c r="O82" s="430"/>
      <c r="P82" s="418"/>
    </row>
    <row r="83" spans="1:17" s="419" customFormat="1" x14ac:dyDescent="0.3">
      <c r="A83" s="427"/>
      <c r="B83" s="428" t="s">
        <v>28</v>
      </c>
      <c r="C83" s="428"/>
      <c r="D83" s="428"/>
      <c r="E83" s="428"/>
      <c r="F83" s="428"/>
      <c r="G83" s="428"/>
      <c r="H83" s="428"/>
      <c r="I83" s="428"/>
      <c r="J83" s="428"/>
      <c r="K83" s="428"/>
      <c r="L83" s="469">
        <f>SUM(L76:L82)</f>
        <v>1113</v>
      </c>
      <c r="M83" s="428"/>
      <c r="N83" s="469">
        <f>SUM(N76:N82)</f>
        <v>143</v>
      </c>
      <c r="O83" s="430"/>
      <c r="P83" s="418"/>
    </row>
    <row r="84" spans="1:17" s="419" customFormat="1" x14ac:dyDescent="0.3">
      <c r="A84" s="427"/>
      <c r="B84" s="428" t="s">
        <v>148</v>
      </c>
      <c r="C84" s="428"/>
      <c r="D84" s="428"/>
      <c r="E84" s="428"/>
      <c r="F84" s="428"/>
      <c r="G84" s="428"/>
      <c r="H84" s="428"/>
      <c r="I84" s="428"/>
      <c r="J84" s="428"/>
      <c r="K84" s="428"/>
      <c r="L84" s="469">
        <v>0</v>
      </c>
      <c r="M84" s="428"/>
      <c r="N84" s="469">
        <f>-L84</f>
        <v>0</v>
      </c>
      <c r="O84" s="430"/>
      <c r="P84" s="418"/>
    </row>
    <row r="85" spans="1:17" s="419" customFormat="1" x14ac:dyDescent="0.3">
      <c r="A85" s="427"/>
      <c r="B85" s="428" t="s">
        <v>29</v>
      </c>
      <c r="C85" s="428"/>
      <c r="D85" s="428"/>
      <c r="E85" s="428"/>
      <c r="F85" s="428"/>
      <c r="G85" s="428"/>
      <c r="H85" s="428"/>
      <c r="I85" s="428"/>
      <c r="J85" s="428"/>
      <c r="K85" s="428"/>
      <c r="L85" s="469">
        <f>-N85</f>
        <v>0</v>
      </c>
      <c r="M85" s="428"/>
      <c r="N85" s="470">
        <v>0</v>
      </c>
      <c r="O85" s="430"/>
      <c r="P85" s="418"/>
    </row>
    <row r="86" spans="1:17" s="419" customFormat="1" x14ac:dyDescent="0.3">
      <c r="A86" s="427"/>
      <c r="B86" s="428" t="s">
        <v>244</v>
      </c>
      <c r="C86" s="428"/>
      <c r="D86" s="428"/>
      <c r="E86" s="428"/>
      <c r="F86" s="428"/>
      <c r="G86" s="428"/>
      <c r="H86" s="428"/>
      <c r="I86" s="428"/>
      <c r="J86" s="428"/>
      <c r="K86" s="428"/>
      <c r="L86" s="469"/>
      <c r="M86" s="428"/>
      <c r="N86" s="470">
        <v>0</v>
      </c>
      <c r="O86" s="430"/>
      <c r="P86" s="418"/>
    </row>
    <row r="87" spans="1:17" s="419" customFormat="1" x14ac:dyDescent="0.3">
      <c r="A87" s="427"/>
      <c r="B87" s="428" t="s">
        <v>30</v>
      </c>
      <c r="C87" s="428"/>
      <c r="D87" s="428"/>
      <c r="E87" s="428"/>
      <c r="F87" s="428"/>
      <c r="G87" s="428"/>
      <c r="H87" s="428"/>
      <c r="I87" s="428"/>
      <c r="J87" s="428"/>
      <c r="K87" s="428"/>
      <c r="L87" s="469">
        <f>L83+L85+L84</f>
        <v>1113</v>
      </c>
      <c r="M87" s="428"/>
      <c r="N87" s="469">
        <f>N83+N85+N84+N86</f>
        <v>143</v>
      </c>
      <c r="O87" s="430"/>
      <c r="P87" s="418"/>
    </row>
    <row r="88" spans="1:17" x14ac:dyDescent="0.3">
      <c r="A88" s="442"/>
      <c r="B88" s="577" t="s">
        <v>31</v>
      </c>
      <c r="C88" s="443"/>
      <c r="D88" s="443"/>
      <c r="E88" s="443"/>
      <c r="F88" s="443"/>
      <c r="G88" s="443"/>
      <c r="H88" s="443"/>
      <c r="I88" s="443"/>
      <c r="J88" s="443"/>
      <c r="K88" s="443"/>
      <c r="L88" s="480"/>
      <c r="M88" s="443"/>
      <c r="N88" s="481"/>
      <c r="O88" s="445"/>
      <c r="P88" s="402"/>
    </row>
    <row r="89" spans="1:17" s="419" customFormat="1" x14ac:dyDescent="0.3">
      <c r="A89" s="427">
        <v>1</v>
      </c>
      <c r="B89" s="428" t="s">
        <v>32</v>
      </c>
      <c r="C89" s="428"/>
      <c r="D89" s="428"/>
      <c r="E89" s="428"/>
      <c r="F89" s="428"/>
      <c r="G89" s="428"/>
      <c r="H89" s="428"/>
      <c r="I89" s="428"/>
      <c r="J89" s="428"/>
      <c r="K89" s="428"/>
      <c r="L89" s="428"/>
      <c r="M89" s="428"/>
      <c r="N89" s="470">
        <v>0</v>
      </c>
      <c r="O89" s="430"/>
      <c r="P89" s="418"/>
    </row>
    <row r="90" spans="1:17" s="419" customFormat="1" x14ac:dyDescent="0.3">
      <c r="A90" s="427">
        <f>+A89+1</f>
        <v>2</v>
      </c>
      <c r="B90" s="428" t="s">
        <v>224</v>
      </c>
      <c r="C90" s="428"/>
      <c r="D90" s="428"/>
      <c r="E90" s="428"/>
      <c r="F90" s="428"/>
      <c r="G90" s="428"/>
      <c r="H90" s="428"/>
      <c r="I90" s="428"/>
      <c r="J90" s="428"/>
      <c r="K90" s="428"/>
      <c r="L90" s="428"/>
      <c r="M90" s="428"/>
      <c r="N90" s="470">
        <v>-2</v>
      </c>
      <c r="O90" s="430"/>
      <c r="P90" s="418"/>
    </row>
    <row r="91" spans="1:17" s="419" customFormat="1" x14ac:dyDescent="0.3">
      <c r="A91" s="427">
        <f>+A90+1</f>
        <v>3</v>
      </c>
      <c r="B91" s="428" t="s">
        <v>235</v>
      </c>
      <c r="C91" s="428"/>
      <c r="D91" s="428"/>
      <c r="E91" s="428"/>
      <c r="F91" s="428"/>
      <c r="G91" s="428"/>
      <c r="H91" s="428"/>
      <c r="I91" s="428"/>
      <c r="J91" s="428"/>
      <c r="K91" s="428"/>
      <c r="L91" s="428"/>
      <c r="M91" s="428"/>
      <c r="N91" s="470">
        <f>-6-38</f>
        <v>-44</v>
      </c>
      <c r="O91" s="430"/>
      <c r="P91" s="418"/>
    </row>
    <row r="92" spans="1:17" s="419" customFormat="1" x14ac:dyDescent="0.3">
      <c r="A92" s="427" t="s">
        <v>123</v>
      </c>
      <c r="B92" s="428" t="s">
        <v>116</v>
      </c>
      <c r="C92" s="428"/>
      <c r="D92" s="428"/>
      <c r="E92" s="428"/>
      <c r="F92" s="428"/>
      <c r="G92" s="428"/>
      <c r="H92" s="428"/>
      <c r="I92" s="428"/>
      <c r="J92" s="428"/>
      <c r="K92" s="428"/>
      <c r="L92" s="428"/>
      <c r="M92" s="428"/>
      <c r="N92" s="470">
        <v>0</v>
      </c>
      <c r="O92" s="430"/>
      <c r="P92" s="418"/>
    </row>
    <row r="93" spans="1:17" s="419" customFormat="1" x14ac:dyDescent="0.3">
      <c r="A93" s="427" t="s">
        <v>124</v>
      </c>
      <c r="B93" s="428" t="s">
        <v>214</v>
      </c>
      <c r="C93" s="428"/>
      <c r="D93" s="428"/>
      <c r="E93" s="428"/>
      <c r="F93" s="428"/>
      <c r="G93" s="428"/>
      <c r="H93" s="428"/>
      <c r="I93" s="428"/>
      <c r="J93" s="428"/>
      <c r="K93" s="428"/>
      <c r="L93" s="428"/>
      <c r="M93" s="428"/>
      <c r="N93" s="470">
        <v>-18</v>
      </c>
      <c r="O93" s="430"/>
      <c r="P93" s="418"/>
    </row>
    <row r="94" spans="1:17" s="419" customFormat="1" x14ac:dyDescent="0.3">
      <c r="A94" s="427" t="s">
        <v>140</v>
      </c>
      <c r="B94" s="428" t="s">
        <v>180</v>
      </c>
      <c r="C94" s="428"/>
      <c r="D94" s="428"/>
      <c r="E94" s="428"/>
      <c r="F94" s="428"/>
      <c r="G94" s="428"/>
      <c r="H94" s="428"/>
      <c r="I94" s="428"/>
      <c r="J94" s="428"/>
      <c r="K94" s="428"/>
      <c r="L94" s="428"/>
      <c r="M94" s="428"/>
      <c r="N94" s="470">
        <v>0</v>
      </c>
      <c r="O94" s="430"/>
      <c r="P94" s="418"/>
    </row>
    <row r="95" spans="1:17" s="419" customFormat="1" x14ac:dyDescent="0.3">
      <c r="A95" s="427" t="s">
        <v>169</v>
      </c>
      <c r="B95" s="428" t="s">
        <v>215</v>
      </c>
      <c r="C95" s="428"/>
      <c r="D95" s="428"/>
      <c r="E95" s="428"/>
      <c r="F95" s="428"/>
      <c r="G95" s="428"/>
      <c r="H95" s="428"/>
      <c r="I95" s="428"/>
      <c r="J95" s="428"/>
      <c r="K95" s="428"/>
      <c r="L95" s="428"/>
      <c r="M95" s="428"/>
      <c r="N95" s="470">
        <v>-3</v>
      </c>
      <c r="O95" s="430"/>
      <c r="P95" s="418"/>
      <c r="Q95" s="482"/>
    </row>
    <row r="96" spans="1:17" s="419" customFormat="1" x14ac:dyDescent="0.3">
      <c r="A96" s="427" t="s">
        <v>170</v>
      </c>
      <c r="B96" s="428" t="s">
        <v>216</v>
      </c>
      <c r="C96" s="428"/>
      <c r="D96" s="428"/>
      <c r="E96" s="428"/>
      <c r="F96" s="428"/>
      <c r="G96" s="428"/>
      <c r="H96" s="428"/>
      <c r="I96" s="428"/>
      <c r="J96" s="428"/>
      <c r="K96" s="428"/>
      <c r="L96" s="428"/>
      <c r="M96" s="428"/>
      <c r="N96" s="470">
        <v>-4</v>
      </c>
      <c r="O96" s="430"/>
      <c r="P96" s="418"/>
      <c r="Q96" s="482"/>
    </row>
    <row r="97" spans="1:16" s="419" customFormat="1" x14ac:dyDescent="0.3">
      <c r="A97" s="427">
        <v>7</v>
      </c>
      <c r="B97" s="428" t="s">
        <v>33</v>
      </c>
      <c r="C97" s="428"/>
      <c r="D97" s="428"/>
      <c r="E97" s="428"/>
      <c r="F97" s="428"/>
      <c r="G97" s="428"/>
      <c r="H97" s="428"/>
      <c r="I97" s="428"/>
      <c r="J97" s="428"/>
      <c r="K97" s="428"/>
      <c r="L97" s="428"/>
      <c r="M97" s="428"/>
      <c r="N97" s="470">
        <v>-7</v>
      </c>
      <c r="O97" s="430"/>
      <c r="P97" s="418"/>
    </row>
    <row r="98" spans="1:16" s="419" customFormat="1" x14ac:dyDescent="0.3">
      <c r="A98" s="427">
        <f t="shared" ref="A98:A104" si="0">+A97+1</f>
        <v>8</v>
      </c>
      <c r="B98" s="428" t="s">
        <v>42</v>
      </c>
      <c r="C98" s="428"/>
      <c r="D98" s="428"/>
      <c r="E98" s="428"/>
      <c r="F98" s="428"/>
      <c r="G98" s="428"/>
      <c r="H98" s="428"/>
      <c r="I98" s="428"/>
      <c r="J98" s="428"/>
      <c r="K98" s="428"/>
      <c r="L98" s="469">
        <f>-N98</f>
        <v>0</v>
      </c>
      <c r="M98" s="428"/>
      <c r="N98" s="470">
        <v>0</v>
      </c>
      <c r="O98" s="430"/>
      <c r="P98" s="418"/>
    </row>
    <row r="99" spans="1:16" s="419" customFormat="1" x14ac:dyDescent="0.3">
      <c r="A99" s="427">
        <f t="shared" si="0"/>
        <v>9</v>
      </c>
      <c r="B99" s="428" t="s">
        <v>121</v>
      </c>
      <c r="C99" s="428"/>
      <c r="D99" s="428"/>
      <c r="E99" s="428"/>
      <c r="F99" s="428"/>
      <c r="G99" s="428"/>
      <c r="H99" s="428"/>
      <c r="I99" s="428"/>
      <c r="J99" s="428"/>
      <c r="K99" s="428"/>
      <c r="L99" s="428"/>
      <c r="M99" s="428"/>
      <c r="N99" s="470">
        <v>0</v>
      </c>
      <c r="O99" s="430"/>
      <c r="P99" s="418"/>
    </row>
    <row r="100" spans="1:16" s="419" customFormat="1" x14ac:dyDescent="0.3">
      <c r="A100" s="427">
        <f t="shared" si="0"/>
        <v>10</v>
      </c>
      <c r="B100" s="428" t="s">
        <v>182</v>
      </c>
      <c r="C100" s="428"/>
      <c r="D100" s="428"/>
      <c r="E100" s="428"/>
      <c r="F100" s="428"/>
      <c r="G100" s="428"/>
      <c r="H100" s="428"/>
      <c r="I100" s="428"/>
      <c r="J100" s="428"/>
      <c r="K100" s="428"/>
      <c r="L100" s="428"/>
      <c r="M100" s="428"/>
      <c r="N100" s="470">
        <v>0</v>
      </c>
      <c r="O100" s="430"/>
      <c r="P100" s="418"/>
    </row>
    <row r="101" spans="1:16" s="419" customFormat="1" x14ac:dyDescent="0.3">
      <c r="A101" s="427">
        <f t="shared" si="0"/>
        <v>11</v>
      </c>
      <c r="B101" s="428" t="s">
        <v>34</v>
      </c>
      <c r="C101" s="428"/>
      <c r="D101" s="428"/>
      <c r="E101" s="428"/>
      <c r="F101" s="428"/>
      <c r="G101" s="428"/>
      <c r="H101" s="428"/>
      <c r="I101" s="428"/>
      <c r="J101" s="428"/>
      <c r="K101" s="428"/>
      <c r="L101" s="428"/>
      <c r="M101" s="428"/>
      <c r="N101" s="470">
        <v>0</v>
      </c>
      <c r="O101" s="430"/>
      <c r="P101" s="418"/>
    </row>
    <row r="102" spans="1:16" s="419" customFormat="1" x14ac:dyDescent="0.3">
      <c r="A102" s="427">
        <f t="shared" si="0"/>
        <v>12</v>
      </c>
      <c r="B102" s="428" t="s">
        <v>181</v>
      </c>
      <c r="C102" s="428"/>
      <c r="D102" s="428"/>
      <c r="E102" s="428"/>
      <c r="F102" s="428"/>
      <c r="G102" s="428"/>
      <c r="H102" s="428"/>
      <c r="I102" s="428"/>
      <c r="J102" s="428"/>
      <c r="K102" s="428"/>
      <c r="L102" s="428"/>
      <c r="M102" s="428"/>
      <c r="N102" s="470">
        <v>0</v>
      </c>
      <c r="O102" s="430"/>
      <c r="P102" s="418"/>
    </row>
    <row r="103" spans="1:16" s="419" customFormat="1" x14ac:dyDescent="0.3">
      <c r="A103" s="427">
        <f t="shared" si="0"/>
        <v>13</v>
      </c>
      <c r="B103" s="428" t="s">
        <v>139</v>
      </c>
      <c r="C103" s="428"/>
      <c r="D103" s="428"/>
      <c r="E103" s="428"/>
      <c r="F103" s="428"/>
      <c r="G103" s="428"/>
      <c r="H103" s="428"/>
      <c r="I103" s="428"/>
      <c r="J103" s="428"/>
      <c r="K103" s="428"/>
      <c r="L103" s="428"/>
      <c r="M103" s="428"/>
      <c r="N103" s="470">
        <v>-6</v>
      </c>
      <c r="O103" s="430"/>
      <c r="P103" s="418"/>
    </row>
    <row r="104" spans="1:16" s="419" customFormat="1" x14ac:dyDescent="0.3">
      <c r="A104" s="427">
        <f t="shared" si="0"/>
        <v>14</v>
      </c>
      <c r="B104" s="428" t="s">
        <v>122</v>
      </c>
      <c r="C104" s="428"/>
      <c r="D104" s="428"/>
      <c r="E104" s="428"/>
      <c r="F104" s="428"/>
      <c r="G104" s="428"/>
      <c r="H104" s="428"/>
      <c r="I104" s="428"/>
      <c r="J104" s="428"/>
      <c r="K104" s="428"/>
      <c r="L104" s="428"/>
      <c r="M104" s="428"/>
      <c r="N104" s="470">
        <f>-N87-SUM(N89:N103)</f>
        <v>-59</v>
      </c>
      <c r="O104" s="430"/>
      <c r="P104" s="418"/>
    </row>
    <row r="105" spans="1:16" x14ac:dyDescent="0.3">
      <c r="A105" s="442"/>
      <c r="B105" s="577" t="s">
        <v>35</v>
      </c>
      <c r="C105" s="443"/>
      <c r="D105" s="443"/>
      <c r="E105" s="443"/>
      <c r="F105" s="443"/>
      <c r="G105" s="443"/>
      <c r="H105" s="443"/>
      <c r="I105" s="443"/>
      <c r="J105" s="443"/>
      <c r="K105" s="443"/>
      <c r="L105" s="443"/>
      <c r="M105" s="443"/>
      <c r="N105" s="483"/>
      <c r="O105" s="445"/>
      <c r="P105" s="402"/>
    </row>
    <row r="106" spans="1:16" s="419" customFormat="1" x14ac:dyDescent="0.3">
      <c r="A106" s="427"/>
      <c r="B106" s="428" t="s">
        <v>160</v>
      </c>
      <c r="C106" s="428"/>
      <c r="D106" s="428"/>
      <c r="E106" s="428"/>
      <c r="F106" s="428"/>
      <c r="G106" s="428"/>
      <c r="H106" s="428"/>
      <c r="I106" s="428"/>
      <c r="J106" s="428"/>
      <c r="K106" s="428"/>
      <c r="L106" s="469">
        <v>0</v>
      </c>
      <c r="M106" s="469"/>
      <c r="N106" s="470"/>
      <c r="O106" s="430"/>
      <c r="P106" s="418"/>
    </row>
    <row r="107" spans="1:16" s="419" customFormat="1" x14ac:dyDescent="0.3">
      <c r="A107" s="427"/>
      <c r="B107" s="428" t="s">
        <v>161</v>
      </c>
      <c r="C107" s="428"/>
      <c r="D107" s="428"/>
      <c r="E107" s="428"/>
      <c r="F107" s="428"/>
      <c r="G107" s="428"/>
      <c r="H107" s="428"/>
      <c r="I107" s="428"/>
      <c r="J107" s="428"/>
      <c r="K107" s="428"/>
      <c r="L107" s="469">
        <v>0</v>
      </c>
      <c r="M107" s="469"/>
      <c r="N107" s="470"/>
      <c r="O107" s="430"/>
      <c r="P107" s="418"/>
    </row>
    <row r="108" spans="1:16" s="419" customFormat="1" x14ac:dyDescent="0.3">
      <c r="A108" s="427"/>
      <c r="B108" s="428" t="s">
        <v>200</v>
      </c>
      <c r="C108" s="428"/>
      <c r="D108" s="428"/>
      <c r="E108" s="428"/>
      <c r="F108" s="428"/>
      <c r="G108" s="428"/>
      <c r="H108" s="428"/>
      <c r="I108" s="428"/>
      <c r="J108" s="428"/>
      <c r="K108" s="428"/>
      <c r="L108" s="469">
        <v>-1113</v>
      </c>
      <c r="M108" s="469"/>
      <c r="N108" s="470"/>
      <c r="O108" s="430"/>
      <c r="P108" s="418"/>
    </row>
    <row r="109" spans="1:16" s="419" customFormat="1" x14ac:dyDescent="0.3">
      <c r="A109" s="427"/>
      <c r="B109" s="428" t="s">
        <v>201</v>
      </c>
      <c r="C109" s="428"/>
      <c r="D109" s="428"/>
      <c r="E109" s="428"/>
      <c r="F109" s="428"/>
      <c r="G109" s="428"/>
      <c r="H109" s="428"/>
      <c r="I109" s="428"/>
      <c r="J109" s="428"/>
      <c r="K109" s="428"/>
      <c r="L109" s="469">
        <v>0</v>
      </c>
      <c r="M109" s="469"/>
      <c r="N109" s="470"/>
      <c r="O109" s="430"/>
      <c r="P109" s="418"/>
    </row>
    <row r="110" spans="1:16" s="419" customFormat="1" x14ac:dyDescent="0.3">
      <c r="A110" s="427"/>
      <c r="B110" s="428" t="s">
        <v>202</v>
      </c>
      <c r="C110" s="428"/>
      <c r="D110" s="428"/>
      <c r="E110" s="428"/>
      <c r="F110" s="428"/>
      <c r="G110" s="428"/>
      <c r="H110" s="428"/>
      <c r="I110" s="428"/>
      <c r="J110" s="428"/>
      <c r="K110" s="428"/>
      <c r="L110" s="469">
        <v>0</v>
      </c>
      <c r="M110" s="469"/>
      <c r="N110" s="470"/>
      <c r="O110" s="430"/>
      <c r="P110" s="418"/>
    </row>
    <row r="111" spans="1:16" s="419" customFormat="1" x14ac:dyDescent="0.3">
      <c r="A111" s="427"/>
      <c r="B111" s="428" t="s">
        <v>36</v>
      </c>
      <c r="C111" s="428"/>
      <c r="D111" s="428"/>
      <c r="E111" s="428"/>
      <c r="F111" s="428"/>
      <c r="G111" s="428"/>
      <c r="H111" s="428"/>
      <c r="I111" s="428"/>
      <c r="J111" s="428"/>
      <c r="K111" s="428"/>
      <c r="L111" s="469">
        <f>SUM(L106:L110)</f>
        <v>-1113</v>
      </c>
      <c r="M111" s="469"/>
      <c r="N111" s="469">
        <f>SUM(N88:N109)</f>
        <v>-143</v>
      </c>
      <c r="O111" s="430"/>
      <c r="P111" s="418"/>
    </row>
    <row r="112" spans="1:16" s="419" customFormat="1" x14ac:dyDescent="0.3">
      <c r="A112" s="427"/>
      <c r="B112" s="428" t="s">
        <v>37</v>
      </c>
      <c r="C112" s="428"/>
      <c r="D112" s="428"/>
      <c r="E112" s="428"/>
      <c r="F112" s="428"/>
      <c r="G112" s="428"/>
      <c r="H112" s="428"/>
      <c r="I112" s="428"/>
      <c r="J112" s="428"/>
      <c r="K112" s="428"/>
      <c r="L112" s="469">
        <f>L87+L111+L98</f>
        <v>0</v>
      </c>
      <c r="M112" s="469"/>
      <c r="N112" s="469">
        <f>N87+N111</f>
        <v>0</v>
      </c>
      <c r="O112" s="430"/>
      <c r="P112" s="418"/>
    </row>
    <row r="113" spans="1:17" s="419" customFormat="1" x14ac:dyDescent="0.3">
      <c r="A113" s="415"/>
      <c r="B113" s="458"/>
      <c r="C113" s="458"/>
      <c r="D113" s="458"/>
      <c r="E113" s="458"/>
      <c r="F113" s="458"/>
      <c r="G113" s="458"/>
      <c r="H113" s="458"/>
      <c r="I113" s="458"/>
      <c r="J113" s="458"/>
      <c r="K113" s="458"/>
      <c r="L113" s="484"/>
      <c r="M113" s="484"/>
      <c r="N113" s="484"/>
      <c r="O113" s="458"/>
      <c r="P113" s="418"/>
    </row>
    <row r="114" spans="1:17" s="419" customFormat="1" x14ac:dyDescent="0.3">
      <c r="A114" s="415"/>
      <c r="B114" s="416"/>
      <c r="C114" s="416"/>
      <c r="D114" s="416"/>
      <c r="E114" s="416"/>
      <c r="F114" s="416"/>
      <c r="G114" s="416"/>
      <c r="H114" s="416"/>
      <c r="I114" s="416"/>
      <c r="J114" s="416"/>
      <c r="K114" s="416"/>
      <c r="L114" s="416"/>
      <c r="M114" s="416"/>
      <c r="N114" s="485"/>
      <c r="O114" s="416"/>
      <c r="P114" s="418"/>
    </row>
    <row r="115" spans="1:17" s="419" customFormat="1" ht="18.600000000000001" thickBot="1" x14ac:dyDescent="0.4">
      <c r="A115" s="463"/>
      <c r="B115" s="464" t="str">
        <f>B52</f>
        <v>FF7 INVESTOR REPORT QUARTER ENDING NOVEMBER 2017</v>
      </c>
      <c r="C115" s="465"/>
      <c r="D115" s="465"/>
      <c r="E115" s="465"/>
      <c r="F115" s="465"/>
      <c r="G115" s="465"/>
      <c r="H115" s="465"/>
      <c r="I115" s="465"/>
      <c r="J115" s="465"/>
      <c r="K115" s="465"/>
      <c r="L115" s="465"/>
      <c r="M115" s="465"/>
      <c r="N115" s="486"/>
      <c r="O115" s="467"/>
      <c r="P115" s="418"/>
    </row>
    <row r="116" spans="1:17" x14ac:dyDescent="0.3">
      <c r="A116" s="603"/>
      <c r="B116" s="604" t="s">
        <v>38</v>
      </c>
      <c r="C116" s="605"/>
      <c r="D116" s="605"/>
      <c r="E116" s="605"/>
      <c r="F116" s="605"/>
      <c r="G116" s="605"/>
      <c r="H116" s="605"/>
      <c r="I116" s="605"/>
      <c r="J116" s="605"/>
      <c r="K116" s="605"/>
      <c r="L116" s="605"/>
      <c r="M116" s="605"/>
      <c r="N116" s="606"/>
      <c r="O116" s="605"/>
      <c r="P116" s="402"/>
    </row>
    <row r="117" spans="1:17" x14ac:dyDescent="0.3">
      <c r="A117" s="404"/>
      <c r="B117" s="487"/>
      <c r="C117" s="406"/>
      <c r="D117" s="406"/>
      <c r="E117" s="406"/>
      <c r="F117" s="406"/>
      <c r="G117" s="406"/>
      <c r="H117" s="406"/>
      <c r="I117" s="406"/>
      <c r="J117" s="406"/>
      <c r="K117" s="406"/>
      <c r="L117" s="406"/>
      <c r="M117" s="406"/>
      <c r="N117" s="468"/>
      <c r="O117" s="406"/>
      <c r="P117" s="402"/>
    </row>
    <row r="118" spans="1:17" x14ac:dyDescent="0.3">
      <c r="A118" s="404"/>
      <c r="B118" s="578" t="s">
        <v>39</v>
      </c>
      <c r="C118" s="406"/>
      <c r="D118" s="406"/>
      <c r="E118" s="406"/>
      <c r="F118" s="406"/>
      <c r="G118" s="406"/>
      <c r="H118" s="406"/>
      <c r="I118" s="406"/>
      <c r="J118" s="406"/>
      <c r="K118" s="406"/>
      <c r="L118" s="406"/>
      <c r="M118" s="406"/>
      <c r="N118" s="468"/>
      <c r="O118" s="406"/>
      <c r="P118" s="402"/>
    </row>
    <row r="119" spans="1:17" s="419" customFormat="1" x14ac:dyDescent="0.3">
      <c r="A119" s="427"/>
      <c r="B119" s="428" t="s">
        <v>40</v>
      </c>
      <c r="C119" s="428"/>
      <c r="D119" s="428"/>
      <c r="E119" s="428"/>
      <c r="F119" s="428"/>
      <c r="G119" s="428"/>
      <c r="H119" s="428"/>
      <c r="I119" s="428"/>
      <c r="J119" s="428"/>
      <c r="K119" s="428"/>
      <c r="L119" s="428"/>
      <c r="M119" s="428"/>
      <c r="N119" s="470">
        <f>N28*0.003</f>
        <v>805.80000000000007</v>
      </c>
      <c r="O119" s="430"/>
      <c r="P119" s="418"/>
    </row>
    <row r="120" spans="1:17" s="419" customFormat="1" x14ac:dyDescent="0.3">
      <c r="A120" s="427"/>
      <c r="B120" s="428" t="s">
        <v>41</v>
      </c>
      <c r="C120" s="428"/>
      <c r="D120" s="428"/>
      <c r="E120" s="428"/>
      <c r="F120" s="428"/>
      <c r="G120" s="428"/>
      <c r="H120" s="428"/>
      <c r="I120" s="428"/>
      <c r="J120" s="428"/>
      <c r="K120" s="428"/>
      <c r="L120" s="428"/>
      <c r="M120" s="428"/>
      <c r="N120" s="470">
        <v>806</v>
      </c>
      <c r="O120" s="430"/>
      <c r="P120" s="418"/>
    </row>
    <row r="121" spans="1:17" s="419" customFormat="1" x14ac:dyDescent="0.3">
      <c r="A121" s="427"/>
      <c r="B121" s="428" t="s">
        <v>132</v>
      </c>
      <c r="C121" s="428"/>
      <c r="D121" s="428"/>
      <c r="E121" s="428"/>
      <c r="F121" s="428"/>
      <c r="G121" s="428"/>
      <c r="H121" s="428"/>
      <c r="I121" s="428"/>
      <c r="J121" s="428"/>
      <c r="K121" s="428"/>
      <c r="L121" s="428"/>
      <c r="M121" s="428"/>
      <c r="N121" s="470">
        <v>0</v>
      </c>
      <c r="O121" s="430"/>
      <c r="P121" s="418"/>
    </row>
    <row r="122" spans="1:17" s="419" customFormat="1" x14ac:dyDescent="0.3">
      <c r="A122" s="427"/>
      <c r="B122" s="428" t="s">
        <v>221</v>
      </c>
      <c r="C122" s="428"/>
      <c r="D122" s="428"/>
      <c r="E122" s="428"/>
      <c r="F122" s="428"/>
      <c r="G122" s="428"/>
      <c r="H122" s="428"/>
      <c r="I122" s="428"/>
      <c r="J122" s="428"/>
      <c r="K122" s="428"/>
      <c r="L122" s="428"/>
      <c r="M122" s="428"/>
      <c r="N122" s="470">
        <v>0</v>
      </c>
      <c r="O122" s="430"/>
      <c r="P122" s="418"/>
    </row>
    <row r="123" spans="1:17" s="419" customFormat="1" x14ac:dyDescent="0.3">
      <c r="A123" s="427"/>
      <c r="B123" s="428" t="s">
        <v>222</v>
      </c>
      <c r="C123" s="428"/>
      <c r="D123" s="428"/>
      <c r="E123" s="428"/>
      <c r="F123" s="428"/>
      <c r="G123" s="428"/>
      <c r="H123" s="428"/>
      <c r="I123" s="428"/>
      <c r="J123" s="428"/>
      <c r="K123" s="428"/>
      <c r="L123" s="428"/>
      <c r="M123" s="428"/>
      <c r="N123" s="470">
        <v>0</v>
      </c>
      <c r="O123" s="430"/>
      <c r="P123" s="418"/>
    </row>
    <row r="124" spans="1:17" s="419" customFormat="1" x14ac:dyDescent="0.3">
      <c r="A124" s="427"/>
      <c r="B124" s="428" t="s">
        <v>223</v>
      </c>
      <c r="C124" s="428"/>
      <c r="D124" s="428"/>
      <c r="E124" s="428"/>
      <c r="F124" s="428"/>
      <c r="G124" s="428"/>
      <c r="H124" s="428"/>
      <c r="I124" s="428"/>
      <c r="J124" s="428"/>
      <c r="K124" s="428"/>
      <c r="L124" s="428"/>
      <c r="M124" s="428"/>
      <c r="N124" s="470">
        <v>0</v>
      </c>
      <c r="O124" s="430"/>
      <c r="P124" s="418"/>
    </row>
    <row r="125" spans="1:17" s="419" customFormat="1" x14ac:dyDescent="0.3">
      <c r="A125" s="427"/>
      <c r="B125" s="428" t="s">
        <v>42</v>
      </c>
      <c r="C125" s="428"/>
      <c r="D125" s="428"/>
      <c r="E125" s="428"/>
      <c r="F125" s="428"/>
      <c r="G125" s="428"/>
      <c r="H125" s="428"/>
      <c r="I125" s="428"/>
      <c r="J125" s="428"/>
      <c r="K125" s="428"/>
      <c r="L125" s="428"/>
      <c r="M125" s="428"/>
      <c r="N125" s="470">
        <v>0</v>
      </c>
      <c r="O125" s="430"/>
      <c r="P125" s="418"/>
    </row>
    <row r="126" spans="1:17" s="419" customFormat="1" x14ac:dyDescent="0.3">
      <c r="A126" s="427"/>
      <c r="B126" s="428" t="s">
        <v>125</v>
      </c>
      <c r="C126" s="428"/>
      <c r="D126" s="428"/>
      <c r="E126" s="428"/>
      <c r="F126" s="428"/>
      <c r="G126" s="428"/>
      <c r="H126" s="428"/>
      <c r="I126" s="428"/>
      <c r="J126" s="428"/>
      <c r="K126" s="428"/>
      <c r="L126" s="428"/>
      <c r="M126" s="428"/>
      <c r="N126" s="470">
        <v>0</v>
      </c>
      <c r="O126" s="430"/>
      <c r="P126" s="418"/>
    </row>
    <row r="127" spans="1:17" s="419" customFormat="1" x14ac:dyDescent="0.3">
      <c r="A127" s="427"/>
      <c r="B127" s="428" t="s">
        <v>225</v>
      </c>
      <c r="C127" s="428"/>
      <c r="D127" s="428"/>
      <c r="E127" s="428"/>
      <c r="F127" s="428"/>
      <c r="G127" s="428"/>
      <c r="H127" s="428"/>
      <c r="I127" s="428"/>
      <c r="J127" s="428"/>
      <c r="K127" s="428"/>
      <c r="L127" s="428"/>
      <c r="M127" s="428"/>
      <c r="N127" s="470">
        <v>0</v>
      </c>
      <c r="O127" s="430"/>
      <c r="P127" s="418"/>
      <c r="Q127" s="482"/>
    </row>
    <row r="128" spans="1:17" s="419" customFormat="1" x14ac:dyDescent="0.3">
      <c r="A128" s="427"/>
      <c r="B128" s="428" t="s">
        <v>43</v>
      </c>
      <c r="C128" s="428"/>
      <c r="D128" s="428"/>
      <c r="E128" s="428"/>
      <c r="F128" s="428"/>
      <c r="G128" s="428"/>
      <c r="H128" s="428"/>
      <c r="I128" s="428"/>
      <c r="J128" s="428"/>
      <c r="K128" s="428"/>
      <c r="L128" s="428"/>
      <c r="M128" s="428"/>
      <c r="N128" s="470">
        <f>SUM(N120:N127)</f>
        <v>806</v>
      </c>
      <c r="O128" s="430"/>
      <c r="P128" s="418"/>
    </row>
    <row r="129" spans="1:16" x14ac:dyDescent="0.3">
      <c r="A129" s="442"/>
      <c r="B129" s="443"/>
      <c r="C129" s="443"/>
      <c r="D129" s="443"/>
      <c r="E129" s="443"/>
      <c r="F129" s="443"/>
      <c r="G129" s="443"/>
      <c r="H129" s="443"/>
      <c r="I129" s="443"/>
      <c r="J129" s="443"/>
      <c r="K129" s="443"/>
      <c r="L129" s="443"/>
      <c r="M129" s="443"/>
      <c r="N129" s="481"/>
      <c r="O129" s="445"/>
      <c r="P129" s="402"/>
    </row>
    <row r="130" spans="1:16" x14ac:dyDescent="0.3">
      <c r="A130" s="442"/>
      <c r="B130" s="577" t="s">
        <v>179</v>
      </c>
      <c r="C130" s="443"/>
      <c r="D130" s="443"/>
      <c r="E130" s="443"/>
      <c r="F130" s="443"/>
      <c r="G130" s="443"/>
      <c r="H130" s="443"/>
      <c r="I130" s="443"/>
      <c r="J130" s="443"/>
      <c r="K130" s="443"/>
      <c r="L130" s="443"/>
      <c r="M130" s="443"/>
      <c r="N130" s="481"/>
      <c r="O130" s="445"/>
      <c r="P130" s="402"/>
    </row>
    <row r="131" spans="1:16" s="419" customFormat="1" x14ac:dyDescent="0.3">
      <c r="A131" s="427"/>
      <c r="B131" s="428" t="s">
        <v>144</v>
      </c>
      <c r="C131" s="428"/>
      <c r="D131" s="428"/>
      <c r="E131" s="428"/>
      <c r="F131" s="428"/>
      <c r="G131" s="428"/>
      <c r="H131" s="428"/>
      <c r="I131" s="428"/>
      <c r="J131" s="428"/>
      <c r="K131" s="428"/>
      <c r="L131" s="428"/>
      <c r="M131" s="428"/>
      <c r="N131" s="470">
        <v>7098</v>
      </c>
      <c r="O131" s="430"/>
      <c r="P131" s="418"/>
    </row>
    <row r="132" spans="1:16" s="419" customFormat="1" x14ac:dyDescent="0.3">
      <c r="A132" s="427"/>
      <c r="B132" s="428" t="s">
        <v>159</v>
      </c>
      <c r="C132" s="428"/>
      <c r="D132" s="428"/>
      <c r="E132" s="428"/>
      <c r="F132" s="428"/>
      <c r="G132" s="428"/>
      <c r="H132" s="428"/>
      <c r="I132" s="428"/>
      <c r="J132" s="428"/>
      <c r="K132" s="428"/>
      <c r="L132" s="428"/>
      <c r="M132" s="428"/>
      <c r="N132" s="470">
        <v>0</v>
      </c>
      <c r="O132" s="430"/>
      <c r="P132" s="418"/>
    </row>
    <row r="133" spans="1:16" s="419" customFormat="1" x14ac:dyDescent="0.3">
      <c r="A133" s="427"/>
      <c r="B133" s="428" t="s">
        <v>278</v>
      </c>
      <c r="C133" s="428"/>
      <c r="D133" s="428"/>
      <c r="E133" s="428"/>
      <c r="F133" s="428"/>
      <c r="G133" s="428"/>
      <c r="H133" s="428"/>
      <c r="I133" s="428"/>
      <c r="J133" s="428"/>
      <c r="K133" s="428"/>
      <c r="L133" s="428"/>
      <c r="M133" s="428"/>
      <c r="N133" s="470">
        <v>0</v>
      </c>
      <c r="O133" s="430"/>
      <c r="P133" s="418"/>
    </row>
    <row r="134" spans="1:16" x14ac:dyDescent="0.3">
      <c r="A134" s="442"/>
      <c r="B134" s="443"/>
      <c r="C134" s="443"/>
      <c r="D134" s="443"/>
      <c r="E134" s="443"/>
      <c r="F134" s="443"/>
      <c r="G134" s="443"/>
      <c r="H134" s="443"/>
      <c r="I134" s="443"/>
      <c r="J134" s="443"/>
      <c r="K134" s="443"/>
      <c r="L134" s="443"/>
      <c r="M134" s="443"/>
      <c r="N134" s="481"/>
      <c r="O134" s="445"/>
      <c r="P134" s="402"/>
    </row>
    <row r="135" spans="1:16" x14ac:dyDescent="0.3">
      <c r="A135" s="404"/>
      <c r="B135" s="471"/>
      <c r="C135" s="471"/>
      <c r="D135" s="471"/>
      <c r="E135" s="471"/>
      <c r="F135" s="471"/>
      <c r="G135" s="471"/>
      <c r="H135" s="471"/>
      <c r="I135" s="471"/>
      <c r="J135" s="471"/>
      <c r="K135" s="471"/>
      <c r="L135" s="471"/>
      <c r="M135" s="471"/>
      <c r="N135" s="488"/>
      <c r="O135" s="471"/>
      <c r="P135" s="402"/>
    </row>
    <row r="136" spans="1:16" x14ac:dyDescent="0.3">
      <c r="A136" s="404"/>
      <c r="B136" s="578" t="s">
        <v>22</v>
      </c>
      <c r="C136" s="406"/>
      <c r="D136" s="406"/>
      <c r="E136" s="406"/>
      <c r="F136" s="406"/>
      <c r="G136" s="406"/>
      <c r="H136" s="406"/>
      <c r="I136" s="406"/>
      <c r="J136" s="406"/>
      <c r="K136" s="406"/>
      <c r="L136" s="406"/>
      <c r="M136" s="406"/>
      <c r="N136" s="468"/>
      <c r="O136" s="406"/>
      <c r="P136" s="402"/>
    </row>
    <row r="137" spans="1:16" s="419" customFormat="1" x14ac:dyDescent="0.3">
      <c r="A137" s="427"/>
      <c r="B137" s="428" t="s">
        <v>44</v>
      </c>
      <c r="C137" s="428"/>
      <c r="D137" s="428"/>
      <c r="E137" s="428"/>
      <c r="F137" s="428"/>
      <c r="G137" s="428"/>
      <c r="H137" s="428"/>
      <c r="I137" s="428"/>
      <c r="J137" s="428"/>
      <c r="K137" s="428"/>
      <c r="L137" s="428"/>
      <c r="M137" s="428"/>
      <c r="N137" s="489" t="s">
        <v>117</v>
      </c>
      <c r="O137" s="430"/>
      <c r="P137" s="418"/>
    </row>
    <row r="138" spans="1:16" s="419" customFormat="1" x14ac:dyDescent="0.3">
      <c r="A138" s="427"/>
      <c r="B138" s="428" t="s">
        <v>45</v>
      </c>
      <c r="C138" s="428"/>
      <c r="D138" s="428"/>
      <c r="E138" s="428"/>
      <c r="F138" s="428"/>
      <c r="G138" s="428"/>
      <c r="H138" s="428"/>
      <c r="I138" s="428"/>
      <c r="J138" s="428"/>
      <c r="K138" s="428"/>
      <c r="L138" s="428"/>
      <c r="M138" s="428"/>
      <c r="N138" s="489" t="s">
        <v>117</v>
      </c>
      <c r="O138" s="430"/>
      <c r="P138" s="418"/>
    </row>
    <row r="139" spans="1:16" s="419" customFormat="1" x14ac:dyDescent="0.3">
      <c r="A139" s="427"/>
      <c r="B139" s="428" t="s">
        <v>46</v>
      </c>
      <c r="C139" s="428"/>
      <c r="D139" s="428"/>
      <c r="E139" s="428"/>
      <c r="F139" s="428"/>
      <c r="G139" s="428"/>
      <c r="H139" s="428"/>
      <c r="I139" s="428"/>
      <c r="J139" s="428"/>
      <c r="K139" s="428"/>
      <c r="L139" s="428"/>
      <c r="M139" s="428"/>
      <c r="N139" s="489" t="s">
        <v>117</v>
      </c>
      <c r="O139" s="430"/>
      <c r="P139" s="418"/>
    </row>
    <row r="140" spans="1:16" s="419" customFormat="1" x14ac:dyDescent="0.3">
      <c r="A140" s="427"/>
      <c r="B140" s="428" t="s">
        <v>47</v>
      </c>
      <c r="C140" s="428"/>
      <c r="D140" s="428"/>
      <c r="E140" s="428"/>
      <c r="F140" s="428"/>
      <c r="G140" s="428"/>
      <c r="H140" s="428"/>
      <c r="I140" s="428"/>
      <c r="J140" s="428"/>
      <c r="K140" s="428"/>
      <c r="L140" s="428"/>
      <c r="M140" s="428"/>
      <c r="N140" s="489" t="s">
        <v>117</v>
      </c>
      <c r="O140" s="430"/>
      <c r="P140" s="418"/>
    </row>
    <row r="141" spans="1:16" x14ac:dyDescent="0.3">
      <c r="A141" s="404"/>
      <c r="B141" s="471"/>
      <c r="C141" s="471"/>
      <c r="D141" s="471"/>
      <c r="E141" s="471"/>
      <c r="F141" s="471"/>
      <c r="G141" s="471"/>
      <c r="H141" s="471"/>
      <c r="I141" s="471"/>
      <c r="J141" s="471"/>
      <c r="K141" s="471"/>
      <c r="L141" s="471"/>
      <c r="M141" s="471"/>
      <c r="N141" s="488"/>
      <c r="O141" s="471"/>
      <c r="P141" s="402"/>
    </row>
    <row r="142" spans="1:16" x14ac:dyDescent="0.3">
      <c r="A142" s="404"/>
      <c r="B142" s="578" t="s">
        <v>48</v>
      </c>
      <c r="C142" s="406"/>
      <c r="D142" s="406"/>
      <c r="E142" s="406"/>
      <c r="F142" s="406"/>
      <c r="G142" s="406"/>
      <c r="H142" s="406"/>
      <c r="I142" s="406"/>
      <c r="J142" s="406"/>
      <c r="K142" s="406"/>
      <c r="L142" s="406"/>
      <c r="M142" s="406"/>
      <c r="N142" s="490"/>
      <c r="O142" s="406"/>
      <c r="P142" s="402"/>
    </row>
    <row r="143" spans="1:16" s="419" customFormat="1" x14ac:dyDescent="0.3">
      <c r="A143" s="427"/>
      <c r="B143" s="428" t="s">
        <v>49</v>
      </c>
      <c r="C143" s="428"/>
      <c r="D143" s="428"/>
      <c r="E143" s="428"/>
      <c r="F143" s="428"/>
      <c r="G143" s="428"/>
      <c r="H143" s="428"/>
      <c r="I143" s="428"/>
      <c r="J143" s="428"/>
      <c r="K143" s="428"/>
      <c r="L143" s="428"/>
      <c r="M143" s="428"/>
      <c r="N143" s="470">
        <v>0</v>
      </c>
      <c r="O143" s="430"/>
      <c r="P143" s="418"/>
    </row>
    <row r="144" spans="1:16" s="419" customFormat="1" x14ac:dyDescent="0.3">
      <c r="A144" s="427"/>
      <c r="B144" s="428" t="s">
        <v>50</v>
      </c>
      <c r="C144" s="428"/>
      <c r="D144" s="428"/>
      <c r="E144" s="428"/>
      <c r="F144" s="428"/>
      <c r="G144" s="428"/>
      <c r="H144" s="428"/>
      <c r="I144" s="428"/>
      <c r="J144" s="428"/>
      <c r="K144" s="428"/>
      <c r="L144" s="428"/>
      <c r="M144" s="428"/>
      <c r="N144" s="470">
        <v>0</v>
      </c>
      <c r="O144" s="430"/>
      <c r="P144" s="418"/>
    </row>
    <row r="145" spans="1:256" s="419" customFormat="1" x14ac:dyDescent="0.3">
      <c r="A145" s="427"/>
      <c r="B145" s="428" t="s">
        <v>51</v>
      </c>
      <c r="C145" s="428"/>
      <c r="D145" s="428"/>
      <c r="E145" s="428"/>
      <c r="F145" s="428"/>
      <c r="G145" s="428"/>
      <c r="H145" s="428"/>
      <c r="I145" s="428"/>
      <c r="J145" s="428"/>
      <c r="K145" s="428"/>
      <c r="L145" s="428"/>
      <c r="M145" s="428"/>
      <c r="N145" s="470">
        <f>+N143+N144</f>
        <v>0</v>
      </c>
      <c r="O145" s="430"/>
      <c r="P145" s="418"/>
    </row>
    <row r="146" spans="1:256" s="419" customFormat="1" x14ac:dyDescent="0.3">
      <c r="A146" s="427"/>
      <c r="B146" s="428" t="s">
        <v>264</v>
      </c>
      <c r="C146" s="428"/>
      <c r="D146" s="428"/>
      <c r="E146" s="428"/>
      <c r="F146" s="428"/>
      <c r="G146" s="428"/>
      <c r="H146" s="428"/>
      <c r="I146" s="428"/>
      <c r="J146" s="428"/>
      <c r="K146" s="428"/>
      <c r="L146" s="428"/>
      <c r="M146" s="428"/>
      <c r="N146" s="470">
        <f>N98</f>
        <v>0</v>
      </c>
      <c r="O146" s="430"/>
      <c r="P146" s="418"/>
    </row>
    <row r="147" spans="1:256" s="419" customFormat="1" x14ac:dyDescent="0.3">
      <c r="A147" s="427"/>
      <c r="B147" s="428" t="s">
        <v>52</v>
      </c>
      <c r="C147" s="428"/>
      <c r="D147" s="428"/>
      <c r="E147" s="428"/>
      <c r="F147" s="428"/>
      <c r="G147" s="428"/>
      <c r="H147" s="428"/>
      <c r="I147" s="428"/>
      <c r="J147" s="428"/>
      <c r="K147" s="428"/>
      <c r="L147" s="428"/>
      <c r="M147" s="428"/>
      <c r="N147" s="470">
        <f>N145+N146</f>
        <v>0</v>
      </c>
      <c r="O147" s="430"/>
      <c r="P147" s="418"/>
    </row>
    <row r="148" spans="1:256" ht="16.2" thickBot="1" x14ac:dyDescent="0.35">
      <c r="A148" s="404"/>
      <c r="B148" s="471"/>
      <c r="C148" s="471"/>
      <c r="D148" s="471"/>
      <c r="E148" s="471"/>
      <c r="F148" s="471"/>
      <c r="G148" s="471"/>
      <c r="H148" s="471"/>
      <c r="I148" s="471"/>
      <c r="J148" s="471"/>
      <c r="K148" s="471"/>
      <c r="L148" s="471"/>
      <c r="M148" s="471"/>
      <c r="N148" s="488"/>
      <c r="O148" s="471"/>
      <c r="P148" s="402"/>
    </row>
    <row r="149" spans="1:256" x14ac:dyDescent="0.3">
      <c r="A149" s="399"/>
      <c r="B149" s="401"/>
      <c r="C149" s="401"/>
      <c r="D149" s="401"/>
      <c r="E149" s="401"/>
      <c r="F149" s="401"/>
      <c r="G149" s="401"/>
      <c r="H149" s="401"/>
      <c r="I149" s="401"/>
      <c r="J149" s="401"/>
      <c r="K149" s="401"/>
      <c r="L149" s="401"/>
      <c r="M149" s="401"/>
      <c r="N149" s="491"/>
      <c r="O149" s="401"/>
      <c r="P149" s="402"/>
    </row>
    <row r="150" spans="1:256" x14ac:dyDescent="0.3">
      <c r="A150" s="404"/>
      <c r="B150" s="578" t="s">
        <v>53</v>
      </c>
      <c r="C150" s="406"/>
      <c r="D150" s="406"/>
      <c r="E150" s="406"/>
      <c r="F150" s="406"/>
      <c r="G150" s="406"/>
      <c r="H150" s="406"/>
      <c r="I150" s="406"/>
      <c r="J150" s="406"/>
      <c r="K150" s="406"/>
      <c r="L150" s="406"/>
      <c r="M150" s="406"/>
      <c r="N150" s="468"/>
      <c r="O150" s="406"/>
      <c r="P150" s="402"/>
    </row>
    <row r="151" spans="1:256" x14ac:dyDescent="0.3">
      <c r="A151" s="404"/>
      <c r="B151" s="487"/>
      <c r="C151" s="406"/>
      <c r="D151" s="406"/>
      <c r="E151" s="406"/>
      <c r="F151" s="406"/>
      <c r="G151" s="406"/>
      <c r="H151" s="406"/>
      <c r="I151" s="406"/>
      <c r="J151" s="406"/>
      <c r="K151" s="406"/>
      <c r="L151" s="406"/>
      <c r="M151" s="406"/>
      <c r="N151" s="468"/>
      <c r="O151" s="406"/>
      <c r="P151" s="402"/>
    </row>
    <row r="152" spans="1:256" s="419" customFormat="1" x14ac:dyDescent="0.3">
      <c r="A152" s="427"/>
      <c r="B152" s="428" t="s">
        <v>234</v>
      </c>
      <c r="C152" s="428"/>
      <c r="D152" s="428"/>
      <c r="E152" s="428"/>
      <c r="F152" s="428"/>
      <c r="G152" s="428"/>
      <c r="H152" s="428"/>
      <c r="I152" s="428"/>
      <c r="J152" s="428"/>
      <c r="K152" s="428"/>
      <c r="L152" s="428"/>
      <c r="M152" s="428"/>
      <c r="N152" s="470">
        <f>N56</f>
        <v>14842</v>
      </c>
      <c r="O152" s="430"/>
      <c r="P152" s="418"/>
      <c r="Q152" s="482"/>
    </row>
    <row r="153" spans="1:256" s="419" customFormat="1" x14ac:dyDescent="0.3">
      <c r="A153" s="427"/>
      <c r="B153" s="428" t="s">
        <v>54</v>
      </c>
      <c r="C153" s="428"/>
      <c r="D153" s="428"/>
      <c r="E153" s="428"/>
      <c r="F153" s="428"/>
      <c r="G153" s="428"/>
      <c r="H153" s="428"/>
      <c r="I153" s="428"/>
      <c r="J153" s="428"/>
      <c r="K153" s="428"/>
      <c r="L153" s="428"/>
      <c r="M153" s="428"/>
      <c r="N153" s="470">
        <f>N72</f>
        <v>14842</v>
      </c>
      <c r="O153" s="430"/>
      <c r="P153" s="418"/>
    </row>
    <row r="154" spans="1:256" ht="16.2" thickBot="1" x14ac:dyDescent="0.35">
      <c r="A154" s="404"/>
      <c r="B154" s="471"/>
      <c r="C154" s="471"/>
      <c r="D154" s="471"/>
      <c r="E154" s="471"/>
      <c r="F154" s="471"/>
      <c r="G154" s="471"/>
      <c r="H154" s="471"/>
      <c r="I154" s="471"/>
      <c r="J154" s="471"/>
      <c r="K154" s="471"/>
      <c r="L154" s="471"/>
      <c r="M154" s="471"/>
      <c r="N154" s="488"/>
      <c r="O154" s="471"/>
      <c r="P154" s="402"/>
    </row>
    <row r="155" spans="1:256" s="492" customFormat="1" x14ac:dyDescent="0.3">
      <c r="A155" s="399"/>
      <c r="B155" s="401"/>
      <c r="C155" s="401"/>
      <c r="D155" s="401"/>
      <c r="E155" s="401"/>
      <c r="F155" s="401"/>
      <c r="G155" s="401"/>
      <c r="H155" s="401"/>
      <c r="I155" s="401"/>
      <c r="J155" s="401"/>
      <c r="K155" s="401"/>
      <c r="L155" s="401"/>
      <c r="M155" s="401"/>
      <c r="N155" s="491"/>
      <c r="O155" s="401"/>
      <c r="P155" s="402"/>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c r="AN155" s="403"/>
      <c r="AO155" s="403"/>
      <c r="AP155" s="403"/>
      <c r="AQ155" s="403"/>
      <c r="AR155" s="403"/>
      <c r="AS155" s="403"/>
      <c r="AT155" s="403"/>
      <c r="AU155" s="403"/>
      <c r="AV155" s="403"/>
      <c r="AW155" s="403"/>
      <c r="AX155" s="403"/>
      <c r="AY155" s="403"/>
      <c r="AZ155" s="403"/>
      <c r="BA155" s="403"/>
      <c r="BB155" s="403"/>
      <c r="BC155" s="403"/>
      <c r="BD155" s="403"/>
      <c r="BE155" s="403"/>
      <c r="BF155" s="403"/>
      <c r="BG155" s="403"/>
      <c r="BH155" s="403"/>
      <c r="BI155" s="403"/>
      <c r="BJ155" s="403"/>
      <c r="BK155" s="403"/>
      <c r="BL155" s="403"/>
      <c r="BM155" s="403"/>
      <c r="BN155" s="403"/>
      <c r="BO155" s="403"/>
      <c r="BP155" s="403"/>
      <c r="BQ155" s="403"/>
      <c r="BR155" s="403"/>
      <c r="BS155" s="403"/>
      <c r="BT155" s="403"/>
      <c r="BU155" s="403"/>
      <c r="BV155" s="403"/>
      <c r="BW155" s="403"/>
      <c r="BX155" s="403"/>
      <c r="BY155" s="403"/>
      <c r="BZ155" s="403"/>
      <c r="CA155" s="403"/>
      <c r="CB155" s="403"/>
      <c r="CC155" s="403"/>
      <c r="CD155" s="403"/>
      <c r="CE155" s="403"/>
      <c r="CF155" s="403"/>
      <c r="CG155" s="403"/>
      <c r="CH155" s="403"/>
      <c r="CI155" s="403"/>
      <c r="CJ155" s="403"/>
      <c r="CK155" s="403"/>
      <c r="CL155" s="403"/>
      <c r="CM155" s="403"/>
      <c r="CN155" s="403"/>
      <c r="CO155" s="403"/>
      <c r="CP155" s="403"/>
      <c r="CQ155" s="403"/>
      <c r="CR155" s="403"/>
      <c r="CS155" s="403"/>
      <c r="CT155" s="403"/>
      <c r="CU155" s="403"/>
      <c r="CV155" s="403"/>
      <c r="CW155" s="403"/>
      <c r="CX155" s="403"/>
      <c r="CY155" s="403"/>
      <c r="CZ155" s="403"/>
      <c r="DA155" s="403"/>
      <c r="DB155" s="403"/>
      <c r="DC155" s="403"/>
      <c r="DD155" s="403"/>
      <c r="DE155" s="403"/>
      <c r="DF155" s="403"/>
      <c r="DG155" s="403"/>
      <c r="DH155" s="403"/>
      <c r="DI155" s="403"/>
      <c r="DJ155" s="403"/>
      <c r="DK155" s="403"/>
      <c r="DL155" s="403"/>
      <c r="DM155" s="403"/>
      <c r="DN155" s="403"/>
      <c r="DO155" s="403"/>
      <c r="DP155" s="403"/>
      <c r="DQ155" s="403"/>
      <c r="DR155" s="403"/>
      <c r="DS155" s="403"/>
      <c r="DT155" s="403"/>
      <c r="DU155" s="403"/>
      <c r="DV155" s="403"/>
      <c r="DW155" s="403"/>
      <c r="DX155" s="403"/>
      <c r="DY155" s="403"/>
      <c r="DZ155" s="403"/>
      <c r="EA155" s="403"/>
      <c r="EB155" s="403"/>
      <c r="EC155" s="403"/>
      <c r="ED155" s="403"/>
      <c r="EE155" s="403"/>
      <c r="EF155" s="403"/>
      <c r="EG155" s="403"/>
      <c r="EH155" s="403"/>
      <c r="EI155" s="403"/>
      <c r="EJ155" s="403"/>
      <c r="EK155" s="403"/>
      <c r="EL155" s="403"/>
      <c r="EM155" s="403"/>
      <c r="EN155" s="403"/>
      <c r="EO155" s="403"/>
      <c r="EP155" s="403"/>
      <c r="EQ155" s="403"/>
      <c r="ER155" s="403"/>
      <c r="ES155" s="403"/>
      <c r="ET155" s="403"/>
      <c r="EU155" s="403"/>
      <c r="EV155" s="403"/>
      <c r="EW155" s="403"/>
      <c r="EX155" s="403"/>
      <c r="EY155" s="403"/>
      <c r="EZ155" s="403"/>
      <c r="FA155" s="403"/>
      <c r="FB155" s="403"/>
      <c r="FC155" s="403"/>
      <c r="FD155" s="403"/>
      <c r="FE155" s="403"/>
      <c r="FF155" s="403"/>
      <c r="FG155" s="403"/>
      <c r="FH155" s="403"/>
      <c r="FI155" s="403"/>
      <c r="FJ155" s="403"/>
      <c r="FK155" s="403"/>
      <c r="FL155" s="403"/>
      <c r="FM155" s="403"/>
      <c r="FN155" s="403"/>
      <c r="FO155" s="403"/>
      <c r="FP155" s="403"/>
      <c r="FQ155" s="403"/>
      <c r="FR155" s="403"/>
      <c r="FS155" s="403"/>
      <c r="FT155" s="403"/>
      <c r="FU155" s="403"/>
      <c r="FV155" s="403"/>
      <c r="FW155" s="403"/>
      <c r="FX155" s="403"/>
      <c r="FY155" s="403"/>
      <c r="FZ155" s="403"/>
      <c r="GA155" s="403"/>
      <c r="GB155" s="403"/>
      <c r="GC155" s="403"/>
      <c r="GD155" s="403"/>
      <c r="GE155" s="403"/>
      <c r="GF155" s="403"/>
      <c r="GG155" s="403"/>
      <c r="GH155" s="403"/>
      <c r="GI155" s="403"/>
      <c r="GJ155" s="403"/>
      <c r="GK155" s="403"/>
      <c r="GL155" s="403"/>
      <c r="GM155" s="403"/>
      <c r="GN155" s="403"/>
      <c r="GO155" s="403"/>
      <c r="GP155" s="403"/>
      <c r="GQ155" s="403"/>
      <c r="GR155" s="403"/>
      <c r="GS155" s="403"/>
      <c r="GT155" s="403"/>
      <c r="GU155" s="403"/>
      <c r="GV155" s="403"/>
      <c r="GW155" s="403"/>
      <c r="GX155" s="403"/>
      <c r="GY155" s="403"/>
      <c r="GZ155" s="403"/>
      <c r="HA155" s="403"/>
      <c r="HB155" s="403"/>
      <c r="HC155" s="403"/>
      <c r="HD155" s="403"/>
      <c r="HE155" s="403"/>
      <c r="HF155" s="403"/>
      <c r="HG155" s="403"/>
      <c r="HH155" s="403"/>
      <c r="HI155" s="403"/>
      <c r="HJ155" s="403"/>
      <c r="HK155" s="403"/>
      <c r="HL155" s="403"/>
      <c r="HM155" s="403"/>
      <c r="HN155" s="403"/>
      <c r="HO155" s="403"/>
      <c r="HP155" s="403"/>
      <c r="HQ155" s="403"/>
      <c r="HR155" s="403"/>
      <c r="HS155" s="403"/>
      <c r="HT155" s="403"/>
      <c r="HU155" s="403"/>
      <c r="HV155" s="403"/>
      <c r="HW155" s="403"/>
      <c r="HX155" s="403"/>
      <c r="HY155" s="403"/>
      <c r="HZ155" s="403"/>
      <c r="IA155" s="403"/>
      <c r="IB155" s="403"/>
      <c r="IC155" s="403"/>
      <c r="ID155" s="403"/>
      <c r="IE155" s="403"/>
      <c r="IF155" s="403"/>
      <c r="IG155" s="403"/>
      <c r="IH155" s="403"/>
      <c r="II155" s="403"/>
      <c r="IJ155" s="403"/>
      <c r="IK155" s="403"/>
      <c r="IL155" s="403"/>
      <c r="IM155" s="403"/>
      <c r="IN155" s="403"/>
      <c r="IO155" s="403"/>
      <c r="IP155" s="403"/>
      <c r="IQ155" s="403"/>
      <c r="IR155" s="403"/>
      <c r="IS155" s="403"/>
      <c r="IT155" s="403"/>
      <c r="IU155" s="403"/>
      <c r="IV155" s="403"/>
    </row>
    <row r="156" spans="1:256" s="493" customFormat="1" x14ac:dyDescent="0.3">
      <c r="A156" s="404"/>
      <c r="B156" s="579" t="s">
        <v>205</v>
      </c>
      <c r="C156" s="471"/>
      <c r="D156" s="471"/>
      <c r="E156" s="471"/>
      <c r="F156" s="471"/>
      <c r="G156" s="471"/>
      <c r="H156" s="471"/>
      <c r="I156" s="471"/>
      <c r="J156" s="471"/>
      <c r="K156" s="471"/>
      <c r="L156" s="471"/>
      <c r="M156" s="471"/>
      <c r="N156" s="488"/>
      <c r="O156" s="471"/>
      <c r="P156" s="402"/>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c r="BM156" s="403"/>
      <c r="BN156" s="403"/>
      <c r="BO156" s="403"/>
      <c r="BP156" s="403"/>
      <c r="BQ156" s="403"/>
      <c r="BR156" s="403"/>
      <c r="BS156" s="403"/>
      <c r="BT156" s="403"/>
      <c r="BU156" s="403"/>
      <c r="BV156" s="403"/>
      <c r="BW156" s="403"/>
      <c r="BX156" s="403"/>
      <c r="BY156" s="403"/>
      <c r="BZ156" s="403"/>
      <c r="CA156" s="403"/>
      <c r="CB156" s="403"/>
      <c r="CC156" s="403"/>
      <c r="CD156" s="403"/>
      <c r="CE156" s="403"/>
      <c r="CF156" s="403"/>
      <c r="CG156" s="403"/>
      <c r="CH156" s="403"/>
      <c r="CI156" s="403"/>
      <c r="CJ156" s="403"/>
      <c r="CK156" s="403"/>
      <c r="CL156" s="403"/>
      <c r="CM156" s="403"/>
      <c r="CN156" s="403"/>
      <c r="CO156" s="403"/>
      <c r="CP156" s="403"/>
      <c r="CQ156" s="403"/>
      <c r="CR156" s="403"/>
      <c r="CS156" s="403"/>
      <c r="CT156" s="403"/>
      <c r="CU156" s="403"/>
      <c r="CV156" s="403"/>
      <c r="CW156" s="403"/>
      <c r="CX156" s="403"/>
      <c r="CY156" s="403"/>
      <c r="CZ156" s="403"/>
      <c r="DA156" s="403"/>
      <c r="DB156" s="403"/>
      <c r="DC156" s="403"/>
      <c r="DD156" s="403"/>
      <c r="DE156" s="403"/>
      <c r="DF156" s="403"/>
      <c r="DG156" s="403"/>
      <c r="DH156" s="403"/>
      <c r="DI156" s="403"/>
      <c r="DJ156" s="403"/>
      <c r="DK156" s="403"/>
      <c r="DL156" s="403"/>
      <c r="DM156" s="403"/>
      <c r="DN156" s="403"/>
      <c r="DO156" s="403"/>
      <c r="DP156" s="403"/>
      <c r="DQ156" s="403"/>
      <c r="DR156" s="403"/>
      <c r="DS156" s="403"/>
      <c r="DT156" s="403"/>
      <c r="DU156" s="403"/>
      <c r="DV156" s="403"/>
      <c r="DW156" s="403"/>
      <c r="DX156" s="403"/>
      <c r="DY156" s="403"/>
      <c r="DZ156" s="403"/>
      <c r="EA156" s="403"/>
      <c r="EB156" s="403"/>
      <c r="EC156" s="403"/>
      <c r="ED156" s="403"/>
      <c r="EE156" s="403"/>
      <c r="EF156" s="403"/>
      <c r="EG156" s="403"/>
      <c r="EH156" s="403"/>
      <c r="EI156" s="403"/>
      <c r="EJ156" s="403"/>
      <c r="EK156" s="403"/>
      <c r="EL156" s="403"/>
      <c r="EM156" s="403"/>
      <c r="EN156" s="403"/>
      <c r="EO156" s="403"/>
      <c r="EP156" s="403"/>
      <c r="EQ156" s="403"/>
      <c r="ER156" s="403"/>
      <c r="ES156" s="403"/>
      <c r="ET156" s="403"/>
      <c r="EU156" s="403"/>
      <c r="EV156" s="403"/>
      <c r="EW156" s="403"/>
      <c r="EX156" s="403"/>
      <c r="EY156" s="403"/>
      <c r="EZ156" s="403"/>
      <c r="FA156" s="403"/>
      <c r="FB156" s="403"/>
      <c r="FC156" s="403"/>
      <c r="FD156" s="403"/>
      <c r="FE156" s="403"/>
      <c r="FF156" s="403"/>
      <c r="FG156" s="403"/>
      <c r="FH156" s="403"/>
      <c r="FI156" s="403"/>
      <c r="FJ156" s="403"/>
      <c r="FK156" s="403"/>
      <c r="FL156" s="403"/>
      <c r="FM156" s="403"/>
      <c r="FN156" s="403"/>
      <c r="FO156" s="403"/>
      <c r="FP156" s="403"/>
      <c r="FQ156" s="403"/>
      <c r="FR156" s="403"/>
      <c r="FS156" s="403"/>
      <c r="FT156" s="403"/>
      <c r="FU156" s="403"/>
      <c r="FV156" s="403"/>
      <c r="FW156" s="403"/>
      <c r="FX156" s="403"/>
      <c r="FY156" s="403"/>
      <c r="FZ156" s="403"/>
      <c r="GA156" s="403"/>
      <c r="GB156" s="403"/>
      <c r="GC156" s="403"/>
      <c r="GD156" s="403"/>
      <c r="GE156" s="403"/>
      <c r="GF156" s="403"/>
      <c r="GG156" s="403"/>
      <c r="GH156" s="403"/>
      <c r="GI156" s="403"/>
      <c r="GJ156" s="403"/>
      <c r="GK156" s="403"/>
      <c r="GL156" s="403"/>
      <c r="GM156" s="403"/>
      <c r="GN156" s="403"/>
      <c r="GO156" s="403"/>
      <c r="GP156" s="403"/>
      <c r="GQ156" s="403"/>
      <c r="GR156" s="403"/>
      <c r="GS156" s="403"/>
      <c r="GT156" s="403"/>
      <c r="GU156" s="403"/>
      <c r="GV156" s="403"/>
      <c r="GW156" s="403"/>
      <c r="GX156" s="403"/>
      <c r="GY156" s="403"/>
      <c r="GZ156" s="403"/>
      <c r="HA156" s="403"/>
      <c r="HB156" s="403"/>
      <c r="HC156" s="403"/>
      <c r="HD156" s="403"/>
      <c r="HE156" s="403"/>
      <c r="HF156" s="403"/>
      <c r="HG156" s="403"/>
      <c r="HH156" s="403"/>
      <c r="HI156" s="403"/>
      <c r="HJ156" s="403"/>
      <c r="HK156" s="403"/>
      <c r="HL156" s="403"/>
      <c r="HM156" s="403"/>
      <c r="HN156" s="403"/>
      <c r="HO156" s="403"/>
      <c r="HP156" s="403"/>
      <c r="HQ156" s="403"/>
      <c r="HR156" s="403"/>
      <c r="HS156" s="403"/>
      <c r="HT156" s="403"/>
      <c r="HU156" s="403"/>
      <c r="HV156" s="403"/>
      <c r="HW156" s="403"/>
      <c r="HX156" s="403"/>
      <c r="HY156" s="403"/>
      <c r="HZ156" s="403"/>
      <c r="IA156" s="403"/>
      <c r="IB156" s="403"/>
      <c r="IC156" s="403"/>
      <c r="ID156" s="403"/>
      <c r="IE156" s="403"/>
      <c r="IF156" s="403"/>
      <c r="IG156" s="403"/>
      <c r="IH156" s="403"/>
      <c r="II156" s="403"/>
      <c r="IJ156" s="403"/>
      <c r="IK156" s="403"/>
      <c r="IL156" s="403"/>
      <c r="IM156" s="403"/>
      <c r="IN156" s="403"/>
      <c r="IO156" s="403"/>
      <c r="IP156" s="403"/>
      <c r="IQ156" s="403"/>
      <c r="IR156" s="403"/>
      <c r="IS156" s="403"/>
      <c r="IT156" s="403"/>
      <c r="IU156" s="403"/>
      <c r="IV156" s="403"/>
    </row>
    <row r="157" spans="1:256" x14ac:dyDescent="0.3">
      <c r="A157" s="404"/>
      <c r="B157" s="471"/>
      <c r="C157" s="471"/>
      <c r="D157" s="471"/>
      <c r="E157" s="471"/>
      <c r="F157" s="471"/>
      <c r="G157" s="471"/>
      <c r="H157" s="471"/>
      <c r="I157" s="471"/>
      <c r="J157" s="471"/>
      <c r="K157" s="471"/>
      <c r="L157" s="471"/>
      <c r="M157" s="471"/>
      <c r="N157" s="488"/>
      <c r="O157" s="471"/>
      <c r="P157" s="402"/>
    </row>
    <row r="158" spans="1:256" s="494" customFormat="1" x14ac:dyDescent="0.3">
      <c r="A158" s="427"/>
      <c r="B158" s="428" t="s">
        <v>206</v>
      </c>
      <c r="C158" s="428"/>
      <c r="D158" s="428"/>
      <c r="E158" s="428"/>
      <c r="F158" s="428"/>
      <c r="G158" s="428"/>
      <c r="H158" s="428"/>
      <c r="I158" s="428"/>
      <c r="J158" s="428"/>
      <c r="K158" s="428"/>
      <c r="L158" s="428"/>
      <c r="M158" s="428"/>
      <c r="N158" s="470">
        <f>+'Aug 17'!N161</f>
        <v>72</v>
      </c>
      <c r="O158" s="430"/>
      <c r="P158" s="418"/>
      <c r="Q158" s="419"/>
      <c r="R158" s="419"/>
      <c r="S158" s="419"/>
      <c r="T158" s="419"/>
      <c r="U158" s="419"/>
      <c r="V158" s="419"/>
      <c r="W158" s="419"/>
      <c r="X158" s="419"/>
      <c r="Y158" s="419"/>
      <c r="Z158" s="419"/>
      <c r="AA158" s="419"/>
      <c r="AB158" s="419"/>
      <c r="AC158" s="419"/>
      <c r="AD158" s="419"/>
      <c r="AE158" s="419"/>
      <c r="AF158" s="419"/>
      <c r="AG158" s="419"/>
      <c r="AH158" s="419"/>
      <c r="AI158" s="419"/>
      <c r="AJ158" s="419"/>
      <c r="AK158" s="419"/>
      <c r="AL158" s="419"/>
      <c r="AM158" s="419"/>
      <c r="AN158" s="419"/>
      <c r="AO158" s="419"/>
      <c r="AP158" s="419"/>
      <c r="AQ158" s="419"/>
      <c r="AR158" s="419"/>
      <c r="AS158" s="419"/>
      <c r="AT158" s="419"/>
      <c r="AU158" s="419"/>
      <c r="AV158" s="419"/>
      <c r="AW158" s="419"/>
      <c r="AX158" s="419"/>
      <c r="AY158" s="419"/>
      <c r="AZ158" s="419"/>
      <c r="BA158" s="419"/>
      <c r="BB158" s="419"/>
      <c r="BC158" s="419"/>
      <c r="BD158" s="419"/>
      <c r="BE158" s="419"/>
      <c r="BF158" s="419"/>
      <c r="BG158" s="419"/>
      <c r="BH158" s="419"/>
      <c r="BI158" s="419"/>
      <c r="BJ158" s="419"/>
      <c r="BK158" s="419"/>
      <c r="BL158" s="419"/>
      <c r="BM158" s="419"/>
      <c r="BN158" s="419"/>
      <c r="BO158" s="419"/>
      <c r="BP158" s="419"/>
      <c r="BQ158" s="419"/>
      <c r="BR158" s="419"/>
      <c r="BS158" s="419"/>
      <c r="BT158" s="419"/>
      <c r="BU158" s="419"/>
      <c r="BV158" s="419"/>
      <c r="BW158" s="419"/>
      <c r="BX158" s="419"/>
      <c r="BY158" s="419"/>
      <c r="BZ158" s="419"/>
      <c r="CA158" s="419"/>
      <c r="CB158" s="419"/>
      <c r="CC158" s="419"/>
      <c r="CD158" s="419"/>
      <c r="CE158" s="419"/>
      <c r="CF158" s="419"/>
      <c r="CG158" s="419"/>
      <c r="CH158" s="419"/>
      <c r="CI158" s="419"/>
      <c r="CJ158" s="419"/>
      <c r="CK158" s="419"/>
      <c r="CL158" s="419"/>
      <c r="CM158" s="419"/>
      <c r="CN158" s="419"/>
      <c r="CO158" s="419"/>
      <c r="CP158" s="419"/>
      <c r="CQ158" s="419"/>
      <c r="CR158" s="419"/>
      <c r="CS158" s="419"/>
      <c r="CT158" s="419"/>
      <c r="CU158" s="419"/>
      <c r="CV158" s="419"/>
      <c r="CW158" s="419"/>
      <c r="CX158" s="419"/>
      <c r="CY158" s="419"/>
      <c r="CZ158" s="419"/>
      <c r="DA158" s="419"/>
      <c r="DB158" s="419"/>
      <c r="DC158" s="419"/>
      <c r="DD158" s="419"/>
      <c r="DE158" s="419"/>
      <c r="DF158" s="419"/>
      <c r="DG158" s="419"/>
      <c r="DH158" s="419"/>
      <c r="DI158" s="419"/>
      <c r="DJ158" s="419"/>
      <c r="DK158" s="419"/>
      <c r="DL158" s="419"/>
      <c r="DM158" s="419"/>
      <c r="DN158" s="419"/>
      <c r="DO158" s="419"/>
      <c r="DP158" s="419"/>
      <c r="DQ158" s="419"/>
      <c r="DR158" s="419"/>
      <c r="DS158" s="419"/>
      <c r="DT158" s="419"/>
      <c r="DU158" s="419"/>
      <c r="DV158" s="419"/>
      <c r="DW158" s="419"/>
      <c r="DX158" s="419"/>
      <c r="DY158" s="419"/>
      <c r="DZ158" s="419"/>
      <c r="EA158" s="419"/>
      <c r="EB158" s="419"/>
      <c r="EC158" s="419"/>
      <c r="ED158" s="419"/>
      <c r="EE158" s="419"/>
      <c r="EF158" s="419"/>
      <c r="EG158" s="419"/>
      <c r="EH158" s="419"/>
      <c r="EI158" s="419"/>
      <c r="EJ158" s="419"/>
      <c r="EK158" s="419"/>
      <c r="EL158" s="419"/>
      <c r="EM158" s="419"/>
      <c r="EN158" s="419"/>
      <c r="EO158" s="419"/>
      <c r="EP158" s="419"/>
      <c r="EQ158" s="419"/>
      <c r="ER158" s="419"/>
      <c r="ES158" s="419"/>
      <c r="ET158" s="419"/>
      <c r="EU158" s="419"/>
      <c r="EV158" s="419"/>
      <c r="EW158" s="419"/>
      <c r="EX158" s="419"/>
      <c r="EY158" s="419"/>
      <c r="EZ158" s="419"/>
      <c r="FA158" s="419"/>
      <c r="FB158" s="419"/>
      <c r="FC158" s="419"/>
      <c r="FD158" s="419"/>
      <c r="FE158" s="419"/>
      <c r="FF158" s="419"/>
      <c r="FG158" s="419"/>
      <c r="FH158" s="419"/>
      <c r="FI158" s="419"/>
      <c r="FJ158" s="419"/>
      <c r="FK158" s="419"/>
      <c r="FL158" s="419"/>
      <c r="FM158" s="419"/>
      <c r="FN158" s="419"/>
      <c r="FO158" s="419"/>
      <c r="FP158" s="419"/>
      <c r="FQ158" s="419"/>
      <c r="FR158" s="419"/>
      <c r="FS158" s="419"/>
      <c r="FT158" s="419"/>
      <c r="FU158" s="419"/>
      <c r="FV158" s="419"/>
      <c r="FW158" s="419"/>
      <c r="FX158" s="419"/>
      <c r="FY158" s="419"/>
      <c r="FZ158" s="419"/>
      <c r="GA158" s="419"/>
      <c r="GB158" s="419"/>
      <c r="GC158" s="419"/>
      <c r="GD158" s="419"/>
      <c r="GE158" s="419"/>
      <c r="GF158" s="419"/>
      <c r="GG158" s="419"/>
      <c r="GH158" s="419"/>
      <c r="GI158" s="419"/>
      <c r="GJ158" s="419"/>
      <c r="GK158" s="419"/>
      <c r="GL158" s="419"/>
      <c r="GM158" s="419"/>
      <c r="GN158" s="419"/>
      <c r="GO158" s="419"/>
      <c r="GP158" s="419"/>
      <c r="GQ158" s="419"/>
      <c r="GR158" s="419"/>
      <c r="GS158" s="419"/>
      <c r="GT158" s="419"/>
      <c r="GU158" s="419"/>
      <c r="GV158" s="419"/>
      <c r="GW158" s="419"/>
      <c r="GX158" s="419"/>
      <c r="GY158" s="419"/>
      <c r="GZ158" s="419"/>
      <c r="HA158" s="419"/>
      <c r="HB158" s="419"/>
      <c r="HC158" s="419"/>
      <c r="HD158" s="419"/>
      <c r="HE158" s="419"/>
      <c r="HF158" s="419"/>
      <c r="HG158" s="419"/>
      <c r="HH158" s="419"/>
      <c r="HI158" s="419"/>
      <c r="HJ158" s="419"/>
      <c r="HK158" s="419"/>
      <c r="HL158" s="419"/>
      <c r="HM158" s="419"/>
      <c r="HN158" s="419"/>
      <c r="HO158" s="419"/>
      <c r="HP158" s="419"/>
      <c r="HQ158" s="419"/>
      <c r="HR158" s="419"/>
      <c r="HS158" s="419"/>
      <c r="HT158" s="419"/>
      <c r="HU158" s="419"/>
      <c r="HV158" s="419"/>
      <c r="HW158" s="419"/>
      <c r="HX158" s="419"/>
      <c r="HY158" s="419"/>
      <c r="HZ158" s="419"/>
      <c r="IA158" s="419"/>
      <c r="IB158" s="419"/>
      <c r="IC158" s="419"/>
      <c r="ID158" s="419"/>
      <c r="IE158" s="419"/>
      <c r="IF158" s="419"/>
      <c r="IG158" s="419"/>
      <c r="IH158" s="419"/>
      <c r="II158" s="419"/>
      <c r="IJ158" s="419"/>
      <c r="IK158" s="419"/>
      <c r="IL158" s="419"/>
      <c r="IM158" s="419"/>
      <c r="IN158" s="419"/>
      <c r="IO158" s="419"/>
      <c r="IP158" s="419"/>
      <c r="IQ158" s="419"/>
      <c r="IR158" s="419"/>
      <c r="IS158" s="419"/>
      <c r="IT158" s="419"/>
      <c r="IU158" s="419"/>
      <c r="IV158" s="419"/>
    </row>
    <row r="159" spans="1:256" s="495" customFormat="1" x14ac:dyDescent="0.3">
      <c r="A159" s="427"/>
      <c r="B159" s="428" t="s">
        <v>207</v>
      </c>
      <c r="C159" s="428"/>
      <c r="D159" s="428"/>
      <c r="E159" s="428"/>
      <c r="F159" s="428"/>
      <c r="G159" s="428"/>
      <c r="H159" s="428"/>
      <c r="I159" s="428"/>
      <c r="J159" s="428"/>
      <c r="K159" s="428"/>
      <c r="L159" s="428"/>
      <c r="M159" s="428"/>
      <c r="N159" s="470">
        <v>2</v>
      </c>
      <c r="O159" s="430"/>
      <c r="P159" s="418"/>
      <c r="Q159" s="419"/>
      <c r="R159" s="419"/>
      <c r="S159" s="419"/>
      <c r="T159" s="419"/>
      <c r="U159" s="419"/>
      <c r="V159" s="419"/>
      <c r="W159" s="419"/>
      <c r="X159" s="419"/>
      <c r="Y159" s="419"/>
      <c r="Z159" s="419"/>
      <c r="AA159" s="419"/>
      <c r="AB159" s="419"/>
      <c r="AC159" s="419"/>
      <c r="AD159" s="419"/>
      <c r="AE159" s="419"/>
      <c r="AF159" s="419"/>
      <c r="AG159" s="419"/>
      <c r="AH159" s="419"/>
      <c r="AI159" s="419"/>
      <c r="AJ159" s="419"/>
      <c r="AK159" s="419"/>
      <c r="AL159" s="419"/>
      <c r="AM159" s="419"/>
      <c r="AN159" s="419"/>
      <c r="AO159" s="419"/>
      <c r="AP159" s="419"/>
      <c r="AQ159" s="419"/>
      <c r="AR159" s="419"/>
      <c r="AS159" s="419"/>
      <c r="AT159" s="419"/>
      <c r="AU159" s="419"/>
      <c r="AV159" s="419"/>
      <c r="AW159" s="419"/>
      <c r="AX159" s="419"/>
      <c r="AY159" s="419"/>
      <c r="AZ159" s="419"/>
      <c r="BA159" s="419"/>
      <c r="BB159" s="419"/>
      <c r="BC159" s="419"/>
      <c r="BD159" s="419"/>
      <c r="BE159" s="419"/>
      <c r="BF159" s="419"/>
      <c r="BG159" s="419"/>
      <c r="BH159" s="419"/>
      <c r="BI159" s="419"/>
      <c r="BJ159" s="419"/>
      <c r="BK159" s="419"/>
      <c r="BL159" s="419"/>
      <c r="BM159" s="419"/>
      <c r="BN159" s="419"/>
      <c r="BO159" s="419"/>
      <c r="BP159" s="419"/>
      <c r="BQ159" s="419"/>
      <c r="BR159" s="419"/>
      <c r="BS159" s="419"/>
      <c r="BT159" s="419"/>
      <c r="BU159" s="419"/>
      <c r="BV159" s="419"/>
      <c r="BW159" s="419"/>
      <c r="BX159" s="419"/>
      <c r="BY159" s="419"/>
      <c r="BZ159" s="419"/>
      <c r="CA159" s="419"/>
      <c r="CB159" s="419"/>
      <c r="CC159" s="419"/>
      <c r="CD159" s="419"/>
      <c r="CE159" s="419"/>
      <c r="CF159" s="419"/>
      <c r="CG159" s="419"/>
      <c r="CH159" s="419"/>
      <c r="CI159" s="419"/>
      <c r="CJ159" s="419"/>
      <c r="CK159" s="419"/>
      <c r="CL159" s="419"/>
      <c r="CM159" s="419"/>
      <c r="CN159" s="419"/>
      <c r="CO159" s="419"/>
      <c r="CP159" s="419"/>
      <c r="CQ159" s="419"/>
      <c r="CR159" s="419"/>
      <c r="CS159" s="419"/>
      <c r="CT159" s="419"/>
      <c r="CU159" s="419"/>
      <c r="CV159" s="419"/>
      <c r="CW159" s="419"/>
      <c r="CX159" s="419"/>
      <c r="CY159" s="419"/>
      <c r="CZ159" s="419"/>
      <c r="DA159" s="419"/>
      <c r="DB159" s="419"/>
      <c r="DC159" s="419"/>
      <c r="DD159" s="419"/>
      <c r="DE159" s="419"/>
      <c r="DF159" s="419"/>
      <c r="DG159" s="419"/>
      <c r="DH159" s="419"/>
      <c r="DI159" s="419"/>
      <c r="DJ159" s="419"/>
      <c r="DK159" s="419"/>
      <c r="DL159" s="419"/>
      <c r="DM159" s="419"/>
      <c r="DN159" s="419"/>
      <c r="DO159" s="419"/>
      <c r="DP159" s="419"/>
      <c r="DQ159" s="419"/>
      <c r="DR159" s="419"/>
      <c r="DS159" s="419"/>
      <c r="DT159" s="419"/>
      <c r="DU159" s="419"/>
      <c r="DV159" s="419"/>
      <c r="DW159" s="419"/>
      <c r="DX159" s="419"/>
      <c r="DY159" s="419"/>
      <c r="DZ159" s="419"/>
      <c r="EA159" s="419"/>
      <c r="EB159" s="419"/>
      <c r="EC159" s="419"/>
      <c r="ED159" s="419"/>
      <c r="EE159" s="419"/>
      <c r="EF159" s="419"/>
      <c r="EG159" s="419"/>
      <c r="EH159" s="419"/>
      <c r="EI159" s="419"/>
      <c r="EJ159" s="419"/>
      <c r="EK159" s="419"/>
      <c r="EL159" s="419"/>
      <c r="EM159" s="419"/>
      <c r="EN159" s="419"/>
      <c r="EO159" s="419"/>
      <c r="EP159" s="419"/>
      <c r="EQ159" s="419"/>
      <c r="ER159" s="419"/>
      <c r="ES159" s="419"/>
      <c r="ET159" s="419"/>
      <c r="EU159" s="419"/>
      <c r="EV159" s="419"/>
      <c r="EW159" s="419"/>
      <c r="EX159" s="419"/>
      <c r="EY159" s="419"/>
      <c r="EZ159" s="419"/>
      <c r="FA159" s="419"/>
      <c r="FB159" s="419"/>
      <c r="FC159" s="419"/>
      <c r="FD159" s="419"/>
      <c r="FE159" s="419"/>
      <c r="FF159" s="419"/>
      <c r="FG159" s="419"/>
      <c r="FH159" s="419"/>
      <c r="FI159" s="419"/>
      <c r="FJ159" s="419"/>
      <c r="FK159" s="419"/>
      <c r="FL159" s="419"/>
      <c r="FM159" s="419"/>
      <c r="FN159" s="419"/>
      <c r="FO159" s="419"/>
      <c r="FP159" s="419"/>
      <c r="FQ159" s="419"/>
      <c r="FR159" s="419"/>
      <c r="FS159" s="419"/>
      <c r="FT159" s="419"/>
      <c r="FU159" s="419"/>
      <c r="FV159" s="419"/>
      <c r="FW159" s="419"/>
      <c r="FX159" s="419"/>
      <c r="FY159" s="419"/>
      <c r="FZ159" s="419"/>
      <c r="GA159" s="419"/>
      <c r="GB159" s="419"/>
      <c r="GC159" s="419"/>
      <c r="GD159" s="419"/>
      <c r="GE159" s="419"/>
      <c r="GF159" s="419"/>
      <c r="GG159" s="419"/>
      <c r="GH159" s="419"/>
      <c r="GI159" s="419"/>
      <c r="GJ159" s="419"/>
      <c r="GK159" s="419"/>
      <c r="GL159" s="419"/>
      <c r="GM159" s="419"/>
      <c r="GN159" s="419"/>
      <c r="GO159" s="419"/>
      <c r="GP159" s="419"/>
      <c r="GQ159" s="419"/>
      <c r="GR159" s="419"/>
      <c r="GS159" s="419"/>
      <c r="GT159" s="419"/>
      <c r="GU159" s="419"/>
      <c r="GV159" s="419"/>
      <c r="GW159" s="419"/>
      <c r="GX159" s="419"/>
      <c r="GY159" s="419"/>
      <c r="GZ159" s="419"/>
      <c r="HA159" s="419"/>
      <c r="HB159" s="419"/>
      <c r="HC159" s="419"/>
      <c r="HD159" s="419"/>
      <c r="HE159" s="419"/>
      <c r="HF159" s="419"/>
      <c r="HG159" s="419"/>
      <c r="HH159" s="419"/>
      <c r="HI159" s="419"/>
      <c r="HJ159" s="419"/>
      <c r="HK159" s="419"/>
      <c r="HL159" s="419"/>
      <c r="HM159" s="419"/>
      <c r="HN159" s="419"/>
      <c r="HO159" s="419"/>
      <c r="HP159" s="419"/>
      <c r="HQ159" s="419"/>
      <c r="HR159" s="419"/>
      <c r="HS159" s="419"/>
      <c r="HT159" s="419"/>
      <c r="HU159" s="419"/>
      <c r="HV159" s="419"/>
      <c r="HW159" s="419"/>
      <c r="HX159" s="419"/>
      <c r="HY159" s="419"/>
      <c r="HZ159" s="419"/>
      <c r="IA159" s="419"/>
      <c r="IB159" s="419"/>
      <c r="IC159" s="419"/>
      <c r="ID159" s="419"/>
      <c r="IE159" s="419"/>
      <c r="IF159" s="419"/>
      <c r="IG159" s="419"/>
      <c r="IH159" s="419"/>
      <c r="II159" s="419"/>
      <c r="IJ159" s="419"/>
      <c r="IK159" s="419"/>
      <c r="IL159" s="419"/>
      <c r="IM159" s="419"/>
      <c r="IN159" s="419"/>
      <c r="IO159" s="419"/>
      <c r="IP159" s="419"/>
      <c r="IQ159" s="419"/>
      <c r="IR159" s="419"/>
      <c r="IS159" s="419"/>
      <c r="IT159" s="419"/>
      <c r="IU159" s="419"/>
      <c r="IV159" s="419"/>
    </row>
    <row r="160" spans="1:256" s="496" customFormat="1" x14ac:dyDescent="0.3">
      <c r="A160" s="427"/>
      <c r="B160" s="428" t="s">
        <v>208</v>
      </c>
      <c r="C160" s="428"/>
      <c r="D160" s="428"/>
      <c r="E160" s="428"/>
      <c r="F160" s="428"/>
      <c r="G160" s="428"/>
      <c r="H160" s="428"/>
      <c r="I160" s="428"/>
      <c r="J160" s="428"/>
      <c r="K160" s="428"/>
      <c r="L160" s="428"/>
      <c r="M160" s="428"/>
      <c r="N160" s="470">
        <v>0</v>
      </c>
      <c r="O160" s="430"/>
      <c r="P160" s="418"/>
      <c r="Q160" s="419"/>
      <c r="R160" s="419"/>
      <c r="S160" s="419"/>
      <c r="T160" s="419"/>
      <c r="U160" s="419"/>
      <c r="V160" s="419"/>
      <c r="W160" s="419"/>
      <c r="X160" s="419"/>
      <c r="Y160" s="419"/>
      <c r="Z160" s="419"/>
      <c r="AA160" s="419"/>
      <c r="AB160" s="419"/>
      <c r="AC160" s="419"/>
      <c r="AD160" s="419"/>
      <c r="AE160" s="419"/>
      <c r="AF160" s="419"/>
      <c r="AG160" s="419"/>
      <c r="AH160" s="419"/>
      <c r="AI160" s="419"/>
      <c r="AJ160" s="419"/>
      <c r="AK160" s="419"/>
      <c r="AL160" s="419"/>
      <c r="AM160" s="419"/>
      <c r="AN160" s="419"/>
      <c r="AO160" s="419"/>
      <c r="AP160" s="419"/>
      <c r="AQ160" s="419"/>
      <c r="AR160" s="419"/>
      <c r="AS160" s="419"/>
      <c r="AT160" s="419"/>
      <c r="AU160" s="419"/>
      <c r="AV160" s="419"/>
      <c r="AW160" s="419"/>
      <c r="AX160" s="419"/>
      <c r="AY160" s="419"/>
      <c r="AZ160" s="419"/>
      <c r="BA160" s="419"/>
      <c r="BB160" s="419"/>
      <c r="BC160" s="419"/>
      <c r="BD160" s="419"/>
      <c r="BE160" s="419"/>
      <c r="BF160" s="419"/>
      <c r="BG160" s="419"/>
      <c r="BH160" s="419"/>
      <c r="BI160" s="419"/>
      <c r="BJ160" s="419"/>
      <c r="BK160" s="419"/>
      <c r="BL160" s="419"/>
      <c r="BM160" s="419"/>
      <c r="BN160" s="419"/>
      <c r="BO160" s="419"/>
      <c r="BP160" s="419"/>
      <c r="BQ160" s="419"/>
      <c r="BR160" s="419"/>
      <c r="BS160" s="419"/>
      <c r="BT160" s="419"/>
      <c r="BU160" s="419"/>
      <c r="BV160" s="419"/>
      <c r="BW160" s="419"/>
      <c r="BX160" s="419"/>
      <c r="BY160" s="419"/>
      <c r="BZ160" s="419"/>
      <c r="CA160" s="419"/>
      <c r="CB160" s="419"/>
      <c r="CC160" s="419"/>
      <c r="CD160" s="419"/>
      <c r="CE160" s="419"/>
      <c r="CF160" s="419"/>
      <c r="CG160" s="419"/>
      <c r="CH160" s="419"/>
      <c r="CI160" s="419"/>
      <c r="CJ160" s="419"/>
      <c r="CK160" s="419"/>
      <c r="CL160" s="419"/>
      <c r="CM160" s="419"/>
      <c r="CN160" s="419"/>
      <c r="CO160" s="419"/>
      <c r="CP160" s="419"/>
      <c r="CQ160" s="419"/>
      <c r="CR160" s="419"/>
      <c r="CS160" s="419"/>
      <c r="CT160" s="419"/>
      <c r="CU160" s="419"/>
      <c r="CV160" s="419"/>
      <c r="CW160" s="419"/>
      <c r="CX160" s="419"/>
      <c r="CY160" s="419"/>
      <c r="CZ160" s="419"/>
      <c r="DA160" s="419"/>
      <c r="DB160" s="419"/>
      <c r="DC160" s="419"/>
      <c r="DD160" s="419"/>
      <c r="DE160" s="419"/>
      <c r="DF160" s="419"/>
      <c r="DG160" s="419"/>
      <c r="DH160" s="419"/>
      <c r="DI160" s="419"/>
      <c r="DJ160" s="419"/>
      <c r="DK160" s="419"/>
      <c r="DL160" s="419"/>
      <c r="DM160" s="419"/>
      <c r="DN160" s="419"/>
      <c r="DO160" s="419"/>
      <c r="DP160" s="419"/>
      <c r="DQ160" s="419"/>
      <c r="DR160" s="419"/>
      <c r="DS160" s="419"/>
      <c r="DT160" s="419"/>
      <c r="DU160" s="419"/>
      <c r="DV160" s="419"/>
      <c r="DW160" s="419"/>
      <c r="DX160" s="419"/>
      <c r="DY160" s="419"/>
      <c r="DZ160" s="419"/>
      <c r="EA160" s="419"/>
      <c r="EB160" s="419"/>
      <c r="EC160" s="419"/>
      <c r="ED160" s="419"/>
      <c r="EE160" s="419"/>
      <c r="EF160" s="419"/>
      <c r="EG160" s="419"/>
      <c r="EH160" s="419"/>
      <c r="EI160" s="419"/>
      <c r="EJ160" s="419"/>
      <c r="EK160" s="419"/>
      <c r="EL160" s="419"/>
      <c r="EM160" s="419"/>
      <c r="EN160" s="419"/>
      <c r="EO160" s="419"/>
      <c r="EP160" s="419"/>
      <c r="EQ160" s="419"/>
      <c r="ER160" s="419"/>
      <c r="ES160" s="419"/>
      <c r="ET160" s="419"/>
      <c r="EU160" s="419"/>
      <c r="EV160" s="419"/>
      <c r="EW160" s="419"/>
      <c r="EX160" s="419"/>
      <c r="EY160" s="419"/>
      <c r="EZ160" s="419"/>
      <c r="FA160" s="419"/>
      <c r="FB160" s="419"/>
      <c r="FC160" s="419"/>
      <c r="FD160" s="419"/>
      <c r="FE160" s="419"/>
      <c r="FF160" s="419"/>
      <c r="FG160" s="419"/>
      <c r="FH160" s="419"/>
      <c r="FI160" s="419"/>
      <c r="FJ160" s="419"/>
      <c r="FK160" s="419"/>
      <c r="FL160" s="419"/>
      <c r="FM160" s="419"/>
      <c r="FN160" s="419"/>
      <c r="FO160" s="419"/>
      <c r="FP160" s="419"/>
      <c r="FQ160" s="419"/>
      <c r="FR160" s="419"/>
      <c r="FS160" s="419"/>
      <c r="FT160" s="419"/>
      <c r="FU160" s="419"/>
      <c r="FV160" s="419"/>
      <c r="FW160" s="419"/>
      <c r="FX160" s="419"/>
      <c r="FY160" s="419"/>
      <c r="FZ160" s="419"/>
      <c r="GA160" s="419"/>
      <c r="GB160" s="419"/>
      <c r="GC160" s="419"/>
      <c r="GD160" s="419"/>
      <c r="GE160" s="419"/>
      <c r="GF160" s="419"/>
      <c r="GG160" s="419"/>
      <c r="GH160" s="419"/>
      <c r="GI160" s="419"/>
      <c r="GJ160" s="419"/>
      <c r="GK160" s="419"/>
      <c r="GL160" s="419"/>
      <c r="GM160" s="419"/>
      <c r="GN160" s="419"/>
      <c r="GO160" s="419"/>
      <c r="GP160" s="419"/>
      <c r="GQ160" s="419"/>
      <c r="GR160" s="419"/>
      <c r="GS160" s="419"/>
      <c r="GT160" s="419"/>
      <c r="GU160" s="419"/>
      <c r="GV160" s="419"/>
      <c r="GW160" s="419"/>
      <c r="GX160" s="419"/>
      <c r="GY160" s="419"/>
      <c r="GZ160" s="419"/>
      <c r="HA160" s="419"/>
      <c r="HB160" s="419"/>
      <c r="HC160" s="419"/>
      <c r="HD160" s="419"/>
      <c r="HE160" s="419"/>
      <c r="HF160" s="419"/>
      <c r="HG160" s="419"/>
      <c r="HH160" s="419"/>
      <c r="HI160" s="419"/>
      <c r="HJ160" s="419"/>
      <c r="HK160" s="419"/>
      <c r="HL160" s="419"/>
      <c r="HM160" s="419"/>
      <c r="HN160" s="419"/>
      <c r="HO160" s="419"/>
      <c r="HP160" s="419"/>
      <c r="HQ160" s="419"/>
      <c r="HR160" s="419"/>
      <c r="HS160" s="419"/>
      <c r="HT160" s="419"/>
      <c r="HU160" s="419"/>
      <c r="HV160" s="419"/>
      <c r="HW160" s="419"/>
      <c r="HX160" s="419"/>
      <c r="HY160" s="419"/>
      <c r="HZ160" s="419"/>
      <c r="IA160" s="419"/>
      <c r="IB160" s="419"/>
      <c r="IC160" s="419"/>
      <c r="ID160" s="419"/>
      <c r="IE160" s="419"/>
      <c r="IF160" s="419"/>
      <c r="IG160" s="419"/>
      <c r="IH160" s="419"/>
      <c r="II160" s="419"/>
      <c r="IJ160" s="419"/>
      <c r="IK160" s="419"/>
      <c r="IL160" s="419"/>
      <c r="IM160" s="419"/>
      <c r="IN160" s="419"/>
      <c r="IO160" s="419"/>
      <c r="IP160" s="419"/>
      <c r="IQ160" s="419"/>
      <c r="IR160" s="419"/>
      <c r="IS160" s="419"/>
      <c r="IT160" s="419"/>
      <c r="IU160" s="419"/>
      <c r="IV160" s="419"/>
    </row>
    <row r="161" spans="1:256" s="497" customFormat="1" x14ac:dyDescent="0.3">
      <c r="A161" s="427"/>
      <c r="B161" s="428" t="s">
        <v>217</v>
      </c>
      <c r="C161" s="428"/>
      <c r="D161" s="428"/>
      <c r="E161" s="428"/>
      <c r="F161" s="428"/>
      <c r="G161" s="428"/>
      <c r="H161" s="428"/>
      <c r="I161" s="428"/>
      <c r="J161" s="428"/>
      <c r="K161" s="428"/>
      <c r="L161" s="428"/>
      <c r="M161" s="428"/>
      <c r="N161" s="470">
        <f>N158-N159-N160</f>
        <v>70</v>
      </c>
      <c r="O161" s="430"/>
      <c r="P161" s="418"/>
      <c r="Q161" s="419"/>
      <c r="R161" s="419"/>
      <c r="S161" s="419"/>
      <c r="T161" s="419"/>
      <c r="U161" s="419"/>
      <c r="V161" s="419"/>
      <c r="W161" s="419"/>
      <c r="X161" s="419"/>
      <c r="Y161" s="419"/>
      <c r="Z161" s="419"/>
      <c r="AA161" s="419"/>
      <c r="AB161" s="419"/>
      <c r="AC161" s="419"/>
      <c r="AD161" s="419"/>
      <c r="AE161" s="419"/>
      <c r="AF161" s="419"/>
      <c r="AG161" s="419"/>
      <c r="AH161" s="419"/>
      <c r="AI161" s="419"/>
      <c r="AJ161" s="419"/>
      <c r="AK161" s="419"/>
      <c r="AL161" s="419"/>
      <c r="AM161" s="419"/>
      <c r="AN161" s="419"/>
      <c r="AO161" s="419"/>
      <c r="AP161" s="419"/>
      <c r="AQ161" s="419"/>
      <c r="AR161" s="419"/>
      <c r="AS161" s="419"/>
      <c r="AT161" s="419"/>
      <c r="AU161" s="419"/>
      <c r="AV161" s="419"/>
      <c r="AW161" s="419"/>
      <c r="AX161" s="419"/>
      <c r="AY161" s="419"/>
      <c r="AZ161" s="419"/>
      <c r="BA161" s="419"/>
      <c r="BB161" s="419"/>
      <c r="BC161" s="419"/>
      <c r="BD161" s="419"/>
      <c r="BE161" s="419"/>
      <c r="BF161" s="419"/>
      <c r="BG161" s="419"/>
      <c r="BH161" s="419"/>
      <c r="BI161" s="419"/>
      <c r="BJ161" s="419"/>
      <c r="BK161" s="419"/>
      <c r="BL161" s="419"/>
      <c r="BM161" s="419"/>
      <c r="BN161" s="419"/>
      <c r="BO161" s="419"/>
      <c r="BP161" s="419"/>
      <c r="BQ161" s="419"/>
      <c r="BR161" s="419"/>
      <c r="BS161" s="419"/>
      <c r="BT161" s="419"/>
      <c r="BU161" s="419"/>
      <c r="BV161" s="419"/>
      <c r="BW161" s="419"/>
      <c r="BX161" s="419"/>
      <c r="BY161" s="419"/>
      <c r="BZ161" s="419"/>
      <c r="CA161" s="419"/>
      <c r="CB161" s="419"/>
      <c r="CC161" s="419"/>
      <c r="CD161" s="419"/>
      <c r="CE161" s="419"/>
      <c r="CF161" s="419"/>
      <c r="CG161" s="419"/>
      <c r="CH161" s="419"/>
      <c r="CI161" s="419"/>
      <c r="CJ161" s="419"/>
      <c r="CK161" s="419"/>
      <c r="CL161" s="419"/>
      <c r="CM161" s="419"/>
      <c r="CN161" s="419"/>
      <c r="CO161" s="419"/>
      <c r="CP161" s="419"/>
      <c r="CQ161" s="419"/>
      <c r="CR161" s="419"/>
      <c r="CS161" s="419"/>
      <c r="CT161" s="419"/>
      <c r="CU161" s="419"/>
      <c r="CV161" s="419"/>
      <c r="CW161" s="419"/>
      <c r="CX161" s="419"/>
      <c r="CY161" s="419"/>
      <c r="CZ161" s="419"/>
      <c r="DA161" s="419"/>
      <c r="DB161" s="419"/>
      <c r="DC161" s="419"/>
      <c r="DD161" s="419"/>
      <c r="DE161" s="419"/>
      <c r="DF161" s="419"/>
      <c r="DG161" s="419"/>
      <c r="DH161" s="419"/>
      <c r="DI161" s="419"/>
      <c r="DJ161" s="419"/>
      <c r="DK161" s="419"/>
      <c r="DL161" s="419"/>
      <c r="DM161" s="419"/>
      <c r="DN161" s="419"/>
      <c r="DO161" s="419"/>
      <c r="DP161" s="419"/>
      <c r="DQ161" s="419"/>
      <c r="DR161" s="419"/>
      <c r="DS161" s="419"/>
      <c r="DT161" s="419"/>
      <c r="DU161" s="419"/>
      <c r="DV161" s="419"/>
      <c r="DW161" s="419"/>
      <c r="DX161" s="419"/>
      <c r="DY161" s="419"/>
      <c r="DZ161" s="419"/>
      <c r="EA161" s="419"/>
      <c r="EB161" s="419"/>
      <c r="EC161" s="419"/>
      <c r="ED161" s="419"/>
      <c r="EE161" s="419"/>
      <c r="EF161" s="419"/>
      <c r="EG161" s="419"/>
      <c r="EH161" s="419"/>
      <c r="EI161" s="419"/>
      <c r="EJ161" s="419"/>
      <c r="EK161" s="419"/>
      <c r="EL161" s="419"/>
      <c r="EM161" s="419"/>
      <c r="EN161" s="419"/>
      <c r="EO161" s="419"/>
      <c r="EP161" s="419"/>
      <c r="EQ161" s="419"/>
      <c r="ER161" s="419"/>
      <c r="ES161" s="419"/>
      <c r="ET161" s="419"/>
      <c r="EU161" s="419"/>
      <c r="EV161" s="419"/>
      <c r="EW161" s="419"/>
      <c r="EX161" s="419"/>
      <c r="EY161" s="419"/>
      <c r="EZ161" s="419"/>
      <c r="FA161" s="419"/>
      <c r="FB161" s="419"/>
      <c r="FC161" s="419"/>
      <c r="FD161" s="419"/>
      <c r="FE161" s="419"/>
      <c r="FF161" s="419"/>
      <c r="FG161" s="419"/>
      <c r="FH161" s="419"/>
      <c r="FI161" s="419"/>
      <c r="FJ161" s="419"/>
      <c r="FK161" s="419"/>
      <c r="FL161" s="419"/>
      <c r="FM161" s="419"/>
      <c r="FN161" s="419"/>
      <c r="FO161" s="419"/>
      <c r="FP161" s="419"/>
      <c r="FQ161" s="419"/>
      <c r="FR161" s="419"/>
      <c r="FS161" s="419"/>
      <c r="FT161" s="419"/>
      <c r="FU161" s="419"/>
      <c r="FV161" s="419"/>
      <c r="FW161" s="419"/>
      <c r="FX161" s="419"/>
      <c r="FY161" s="419"/>
      <c r="FZ161" s="419"/>
      <c r="GA161" s="419"/>
      <c r="GB161" s="419"/>
      <c r="GC161" s="419"/>
      <c r="GD161" s="419"/>
      <c r="GE161" s="419"/>
      <c r="GF161" s="419"/>
      <c r="GG161" s="419"/>
      <c r="GH161" s="419"/>
      <c r="GI161" s="419"/>
      <c r="GJ161" s="419"/>
      <c r="GK161" s="419"/>
      <c r="GL161" s="419"/>
      <c r="GM161" s="419"/>
      <c r="GN161" s="419"/>
      <c r="GO161" s="419"/>
      <c r="GP161" s="419"/>
      <c r="GQ161" s="419"/>
      <c r="GR161" s="419"/>
      <c r="GS161" s="419"/>
      <c r="GT161" s="419"/>
      <c r="GU161" s="419"/>
      <c r="GV161" s="419"/>
      <c r="GW161" s="419"/>
      <c r="GX161" s="419"/>
      <c r="GY161" s="419"/>
      <c r="GZ161" s="419"/>
      <c r="HA161" s="419"/>
      <c r="HB161" s="419"/>
      <c r="HC161" s="419"/>
      <c r="HD161" s="419"/>
      <c r="HE161" s="419"/>
      <c r="HF161" s="419"/>
      <c r="HG161" s="419"/>
      <c r="HH161" s="419"/>
      <c r="HI161" s="419"/>
      <c r="HJ161" s="419"/>
      <c r="HK161" s="419"/>
      <c r="HL161" s="419"/>
      <c r="HM161" s="419"/>
      <c r="HN161" s="419"/>
      <c r="HO161" s="419"/>
      <c r="HP161" s="419"/>
      <c r="HQ161" s="419"/>
      <c r="HR161" s="419"/>
      <c r="HS161" s="419"/>
      <c r="HT161" s="419"/>
      <c r="HU161" s="419"/>
      <c r="HV161" s="419"/>
      <c r="HW161" s="419"/>
      <c r="HX161" s="419"/>
      <c r="HY161" s="419"/>
      <c r="HZ161" s="419"/>
      <c r="IA161" s="419"/>
      <c r="IB161" s="419"/>
      <c r="IC161" s="419"/>
      <c r="ID161" s="419"/>
      <c r="IE161" s="419"/>
      <c r="IF161" s="419"/>
      <c r="IG161" s="419"/>
      <c r="IH161" s="419"/>
      <c r="II161" s="419"/>
      <c r="IJ161" s="419"/>
      <c r="IK161" s="419"/>
      <c r="IL161" s="419"/>
      <c r="IM161" s="419"/>
      <c r="IN161" s="419"/>
      <c r="IO161" s="419"/>
      <c r="IP161" s="419"/>
      <c r="IQ161" s="419"/>
      <c r="IR161" s="419"/>
      <c r="IS161" s="419"/>
      <c r="IT161" s="419"/>
      <c r="IU161" s="419"/>
      <c r="IV161" s="419"/>
    </row>
    <row r="162" spans="1:256" s="499" customFormat="1" ht="16.2" thickBot="1" x14ac:dyDescent="0.35">
      <c r="A162" s="404"/>
      <c r="B162" s="476"/>
      <c r="C162" s="476"/>
      <c r="D162" s="476"/>
      <c r="E162" s="476"/>
      <c r="F162" s="476"/>
      <c r="G162" s="476"/>
      <c r="H162" s="476"/>
      <c r="I162" s="476"/>
      <c r="J162" s="476"/>
      <c r="K162" s="476"/>
      <c r="L162" s="476"/>
      <c r="M162" s="476"/>
      <c r="N162" s="498"/>
      <c r="O162" s="476"/>
      <c r="P162" s="402"/>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c r="BT162" s="403"/>
      <c r="BU162" s="403"/>
      <c r="BV162" s="403"/>
      <c r="BW162" s="403"/>
      <c r="BX162" s="403"/>
      <c r="BY162" s="403"/>
      <c r="BZ162" s="403"/>
      <c r="CA162" s="403"/>
      <c r="CB162" s="403"/>
      <c r="CC162" s="403"/>
      <c r="CD162" s="403"/>
      <c r="CE162" s="403"/>
      <c r="CF162" s="403"/>
      <c r="CG162" s="403"/>
      <c r="CH162" s="403"/>
      <c r="CI162" s="403"/>
      <c r="CJ162" s="403"/>
      <c r="CK162" s="403"/>
      <c r="CL162" s="403"/>
      <c r="CM162" s="403"/>
      <c r="CN162" s="403"/>
      <c r="CO162" s="403"/>
      <c r="CP162" s="403"/>
      <c r="CQ162" s="403"/>
      <c r="CR162" s="403"/>
      <c r="CS162" s="403"/>
      <c r="CT162" s="403"/>
      <c r="CU162" s="403"/>
      <c r="CV162" s="403"/>
      <c r="CW162" s="403"/>
      <c r="CX162" s="403"/>
      <c r="CY162" s="403"/>
      <c r="CZ162" s="403"/>
      <c r="DA162" s="403"/>
      <c r="DB162" s="403"/>
      <c r="DC162" s="403"/>
      <c r="DD162" s="403"/>
      <c r="DE162" s="403"/>
      <c r="DF162" s="403"/>
      <c r="DG162" s="403"/>
      <c r="DH162" s="403"/>
      <c r="DI162" s="403"/>
      <c r="DJ162" s="403"/>
      <c r="DK162" s="403"/>
      <c r="DL162" s="403"/>
      <c r="DM162" s="403"/>
      <c r="DN162" s="403"/>
      <c r="DO162" s="403"/>
      <c r="DP162" s="403"/>
      <c r="DQ162" s="403"/>
      <c r="DR162" s="403"/>
      <c r="DS162" s="403"/>
      <c r="DT162" s="403"/>
      <c r="DU162" s="403"/>
      <c r="DV162" s="403"/>
      <c r="DW162" s="403"/>
      <c r="DX162" s="403"/>
      <c r="DY162" s="403"/>
      <c r="DZ162" s="403"/>
      <c r="EA162" s="403"/>
      <c r="EB162" s="403"/>
      <c r="EC162" s="403"/>
      <c r="ED162" s="403"/>
      <c r="EE162" s="403"/>
      <c r="EF162" s="403"/>
      <c r="EG162" s="403"/>
      <c r="EH162" s="403"/>
      <c r="EI162" s="403"/>
      <c r="EJ162" s="403"/>
      <c r="EK162" s="403"/>
      <c r="EL162" s="403"/>
      <c r="EM162" s="403"/>
      <c r="EN162" s="403"/>
      <c r="EO162" s="403"/>
      <c r="EP162" s="403"/>
      <c r="EQ162" s="403"/>
      <c r="ER162" s="403"/>
      <c r="ES162" s="403"/>
      <c r="ET162" s="403"/>
      <c r="EU162" s="403"/>
      <c r="EV162" s="403"/>
      <c r="EW162" s="403"/>
      <c r="EX162" s="403"/>
      <c r="EY162" s="403"/>
      <c r="EZ162" s="403"/>
      <c r="FA162" s="403"/>
      <c r="FB162" s="403"/>
      <c r="FC162" s="403"/>
      <c r="FD162" s="403"/>
      <c r="FE162" s="403"/>
      <c r="FF162" s="403"/>
      <c r="FG162" s="403"/>
      <c r="FH162" s="403"/>
      <c r="FI162" s="403"/>
      <c r="FJ162" s="403"/>
      <c r="FK162" s="403"/>
      <c r="FL162" s="403"/>
      <c r="FM162" s="403"/>
      <c r="FN162" s="403"/>
      <c r="FO162" s="403"/>
      <c r="FP162" s="403"/>
      <c r="FQ162" s="403"/>
      <c r="FR162" s="403"/>
      <c r="FS162" s="403"/>
      <c r="FT162" s="403"/>
      <c r="FU162" s="403"/>
      <c r="FV162" s="403"/>
      <c r="FW162" s="403"/>
      <c r="FX162" s="403"/>
      <c r="FY162" s="403"/>
      <c r="FZ162" s="403"/>
      <c r="GA162" s="403"/>
      <c r="GB162" s="403"/>
      <c r="GC162" s="403"/>
      <c r="GD162" s="403"/>
      <c r="GE162" s="403"/>
      <c r="GF162" s="403"/>
      <c r="GG162" s="403"/>
      <c r="GH162" s="403"/>
      <c r="GI162" s="403"/>
      <c r="GJ162" s="403"/>
      <c r="GK162" s="403"/>
      <c r="GL162" s="403"/>
      <c r="GM162" s="403"/>
      <c r="GN162" s="403"/>
      <c r="GO162" s="403"/>
      <c r="GP162" s="403"/>
      <c r="GQ162" s="403"/>
      <c r="GR162" s="403"/>
      <c r="GS162" s="403"/>
      <c r="GT162" s="403"/>
      <c r="GU162" s="403"/>
      <c r="GV162" s="403"/>
      <c r="GW162" s="403"/>
      <c r="GX162" s="403"/>
      <c r="GY162" s="403"/>
      <c r="GZ162" s="403"/>
      <c r="HA162" s="403"/>
      <c r="HB162" s="403"/>
      <c r="HC162" s="403"/>
      <c r="HD162" s="403"/>
      <c r="HE162" s="403"/>
      <c r="HF162" s="403"/>
      <c r="HG162" s="403"/>
      <c r="HH162" s="403"/>
      <c r="HI162" s="403"/>
      <c r="HJ162" s="403"/>
      <c r="HK162" s="403"/>
      <c r="HL162" s="403"/>
      <c r="HM162" s="403"/>
      <c r="HN162" s="403"/>
      <c r="HO162" s="403"/>
      <c r="HP162" s="403"/>
      <c r="HQ162" s="403"/>
      <c r="HR162" s="403"/>
      <c r="HS162" s="403"/>
      <c r="HT162" s="403"/>
      <c r="HU162" s="403"/>
      <c r="HV162" s="403"/>
      <c r="HW162" s="403"/>
      <c r="HX162" s="403"/>
      <c r="HY162" s="403"/>
      <c r="HZ162" s="403"/>
      <c r="IA162" s="403"/>
      <c r="IB162" s="403"/>
      <c r="IC162" s="403"/>
      <c r="ID162" s="403"/>
      <c r="IE162" s="403"/>
      <c r="IF162" s="403"/>
      <c r="IG162" s="403"/>
      <c r="IH162" s="403"/>
      <c r="II162" s="403"/>
      <c r="IJ162" s="403"/>
      <c r="IK162" s="403"/>
      <c r="IL162" s="403"/>
      <c r="IM162" s="403"/>
      <c r="IN162" s="403"/>
      <c r="IO162" s="403"/>
      <c r="IP162" s="403"/>
      <c r="IQ162" s="403"/>
      <c r="IR162" s="403"/>
      <c r="IS162" s="403"/>
      <c r="IT162" s="403"/>
      <c r="IU162" s="403"/>
      <c r="IV162" s="403"/>
    </row>
    <row r="163" spans="1:256" s="504" customFormat="1" x14ac:dyDescent="0.3">
      <c r="A163" s="500"/>
      <c r="B163" s="501"/>
      <c r="C163" s="501"/>
      <c r="D163" s="501"/>
      <c r="E163" s="501"/>
      <c r="F163" s="501"/>
      <c r="G163" s="501"/>
      <c r="H163" s="501"/>
      <c r="I163" s="501"/>
      <c r="J163" s="501"/>
      <c r="K163" s="501"/>
      <c r="L163" s="501"/>
      <c r="M163" s="501"/>
      <c r="N163" s="502"/>
      <c r="O163" s="501"/>
      <c r="P163" s="503"/>
    </row>
    <row r="164" spans="1:256" s="569" customFormat="1" x14ac:dyDescent="0.3">
      <c r="A164" s="572"/>
      <c r="B164" s="578" t="s">
        <v>55</v>
      </c>
      <c r="C164" s="576"/>
      <c r="D164" s="580"/>
      <c r="E164" s="580"/>
      <c r="F164" s="580"/>
      <c r="G164" s="580"/>
      <c r="H164" s="580"/>
      <c r="I164" s="580"/>
      <c r="J164" s="580"/>
      <c r="K164" s="580" t="s">
        <v>98</v>
      </c>
      <c r="L164" s="580" t="s">
        <v>226</v>
      </c>
      <c r="M164" s="408"/>
      <c r="N164" s="581" t="s">
        <v>114</v>
      </c>
      <c r="O164" s="408"/>
      <c r="P164" s="568"/>
    </row>
    <row r="165" spans="1:256" s="419" customFormat="1" x14ac:dyDescent="0.3">
      <c r="A165" s="427"/>
      <c r="B165" s="428" t="s">
        <v>56</v>
      </c>
      <c r="C165" s="428"/>
      <c r="D165" s="428"/>
      <c r="E165" s="428"/>
      <c r="F165" s="428"/>
      <c r="G165" s="428"/>
      <c r="H165" s="428"/>
      <c r="I165" s="428"/>
      <c r="J165" s="428"/>
      <c r="K165" s="470" t="s">
        <v>117</v>
      </c>
      <c r="L165" s="449" t="s">
        <v>117</v>
      </c>
      <c r="M165" s="428"/>
      <c r="N165" s="470"/>
      <c r="O165" s="430"/>
      <c r="P165" s="418"/>
    </row>
    <row r="166" spans="1:256" s="419" customFormat="1" x14ac:dyDescent="0.3">
      <c r="A166" s="427"/>
      <c r="B166" s="428" t="s">
        <v>57</v>
      </c>
      <c r="C166" s="428"/>
      <c r="D166" s="428"/>
      <c r="E166" s="428"/>
      <c r="F166" s="428"/>
      <c r="G166" s="428"/>
      <c r="H166" s="428"/>
      <c r="I166" s="428"/>
      <c r="J166" s="428"/>
      <c r="K166" s="470">
        <v>0</v>
      </c>
      <c r="L166" s="470">
        <f>+'Aug 17'!L168</f>
        <v>19642</v>
      </c>
      <c r="M166" s="428"/>
      <c r="N166" s="470">
        <f>K166+L166</f>
        <v>19642</v>
      </c>
      <c r="O166" s="430"/>
      <c r="P166" s="418"/>
    </row>
    <row r="167" spans="1:256" s="419" customFormat="1" x14ac:dyDescent="0.3">
      <c r="A167" s="427"/>
      <c r="B167" s="428" t="s">
        <v>58</v>
      </c>
      <c r="C167" s="428"/>
      <c r="D167" s="428"/>
      <c r="E167" s="428"/>
      <c r="F167" s="428"/>
      <c r="G167" s="428"/>
      <c r="H167" s="428"/>
      <c r="I167" s="428"/>
      <c r="J167" s="428"/>
      <c r="K167" s="469">
        <v>0</v>
      </c>
      <c r="L167" s="469">
        <f>-L107</f>
        <v>0</v>
      </c>
      <c r="M167" s="428"/>
      <c r="N167" s="470">
        <f>K167+L167</f>
        <v>0</v>
      </c>
      <c r="O167" s="430"/>
      <c r="P167" s="418"/>
    </row>
    <row r="168" spans="1:256" s="419" customFormat="1" x14ac:dyDescent="0.3">
      <c r="A168" s="427"/>
      <c r="B168" s="428" t="s">
        <v>59</v>
      </c>
      <c r="C168" s="428"/>
      <c r="D168" s="428"/>
      <c r="E168" s="428"/>
      <c r="F168" s="428"/>
      <c r="G168" s="428"/>
      <c r="H168" s="428"/>
      <c r="I168" s="428"/>
      <c r="J168" s="428"/>
      <c r="K168" s="470">
        <f>K166+K167</f>
        <v>0</v>
      </c>
      <c r="L168" s="470">
        <f>L167+L166</f>
        <v>19642</v>
      </c>
      <c r="M168" s="428"/>
      <c r="N168" s="470">
        <f>K168+L168</f>
        <v>19642</v>
      </c>
      <c r="O168" s="430"/>
      <c r="P168" s="418"/>
    </row>
    <row r="169" spans="1:256" s="419" customFormat="1" x14ac:dyDescent="0.3">
      <c r="A169" s="427"/>
      <c r="B169" s="428" t="s">
        <v>60</v>
      </c>
      <c r="C169" s="428"/>
      <c r="D169" s="428"/>
      <c r="E169" s="428"/>
      <c r="F169" s="428"/>
      <c r="G169" s="428"/>
      <c r="H169" s="428"/>
      <c r="I169" s="428"/>
      <c r="J169" s="428"/>
      <c r="K169" s="470" t="s">
        <v>117</v>
      </c>
      <c r="L169" s="449" t="s">
        <v>117</v>
      </c>
      <c r="M169" s="428"/>
      <c r="N169" s="470"/>
      <c r="O169" s="430"/>
      <c r="P169" s="418"/>
    </row>
    <row r="170" spans="1:256" ht="16.2" thickBot="1" x14ac:dyDescent="0.35">
      <c r="A170" s="404"/>
      <c r="B170" s="471"/>
      <c r="C170" s="471"/>
      <c r="D170" s="471"/>
      <c r="E170" s="471"/>
      <c r="F170" s="471"/>
      <c r="G170" s="471"/>
      <c r="H170" s="471"/>
      <c r="I170" s="471"/>
      <c r="J170" s="471"/>
      <c r="K170" s="471"/>
      <c r="L170" s="471"/>
      <c r="M170" s="471"/>
      <c r="N170" s="488"/>
      <c r="O170" s="471"/>
      <c r="P170" s="402"/>
    </row>
    <row r="171" spans="1:256" x14ac:dyDescent="0.3">
      <c r="A171" s="399"/>
      <c r="B171" s="401"/>
      <c r="C171" s="401"/>
      <c r="D171" s="401"/>
      <c r="E171" s="401"/>
      <c r="F171" s="401"/>
      <c r="G171" s="401"/>
      <c r="H171" s="401"/>
      <c r="I171" s="401"/>
      <c r="J171" s="401"/>
      <c r="K171" s="401"/>
      <c r="L171" s="401"/>
      <c r="M171" s="401"/>
      <c r="N171" s="491"/>
      <c r="O171" s="401"/>
      <c r="P171" s="402"/>
    </row>
    <row r="172" spans="1:256" x14ac:dyDescent="0.3">
      <c r="A172" s="404"/>
      <c r="B172" s="578" t="s">
        <v>61</v>
      </c>
      <c r="C172" s="406"/>
      <c r="D172" s="406"/>
      <c r="E172" s="406"/>
      <c r="F172" s="406"/>
      <c r="G172" s="406"/>
      <c r="H172" s="406"/>
      <c r="I172" s="406"/>
      <c r="J172" s="406"/>
      <c r="K172" s="406"/>
      <c r="L172" s="406"/>
      <c r="M172" s="406"/>
      <c r="N172" s="505"/>
      <c r="O172" s="406"/>
      <c r="P172" s="402"/>
    </row>
    <row r="173" spans="1:256" s="419" customFormat="1" x14ac:dyDescent="0.3">
      <c r="A173" s="427"/>
      <c r="B173" s="428" t="s">
        <v>62</v>
      </c>
      <c r="C173" s="428"/>
      <c r="D173" s="428"/>
      <c r="E173" s="428"/>
      <c r="F173" s="428"/>
      <c r="G173" s="428"/>
      <c r="H173" s="428"/>
      <c r="I173" s="428"/>
      <c r="J173" s="428"/>
      <c r="K173" s="428"/>
      <c r="L173" s="428"/>
      <c r="M173" s="428"/>
      <c r="N173" s="489">
        <f>(N87+N89+N90+N91+N92)/-N93</f>
        <v>5.3888888888888893</v>
      </c>
      <c r="O173" s="430" t="s">
        <v>115</v>
      </c>
      <c r="P173" s="418"/>
    </row>
    <row r="174" spans="1:256" s="419" customFormat="1" x14ac:dyDescent="0.3">
      <c r="A174" s="427"/>
      <c r="B174" s="428" t="s">
        <v>63</v>
      </c>
      <c r="C174" s="428"/>
      <c r="D174" s="428"/>
      <c r="E174" s="428"/>
      <c r="F174" s="428"/>
      <c r="G174" s="428"/>
      <c r="H174" s="428"/>
      <c r="I174" s="428"/>
      <c r="J174" s="428"/>
      <c r="K174" s="428"/>
      <c r="L174" s="428"/>
      <c r="M174" s="428"/>
      <c r="N174" s="506">
        <v>2.2400000000000002</v>
      </c>
      <c r="O174" s="430" t="s">
        <v>115</v>
      </c>
      <c r="P174" s="418"/>
    </row>
    <row r="175" spans="1:256" s="419" customFormat="1" x14ac:dyDescent="0.3">
      <c r="A175" s="427"/>
      <c r="B175" s="428" t="s">
        <v>64</v>
      </c>
      <c r="C175" s="428"/>
      <c r="D175" s="428"/>
      <c r="E175" s="428"/>
      <c r="F175" s="428"/>
      <c r="G175" s="428"/>
      <c r="H175" s="428"/>
      <c r="I175" s="428"/>
      <c r="J175" s="428"/>
      <c r="K175" s="428"/>
      <c r="L175" s="428"/>
      <c r="M175" s="428"/>
      <c r="N175" s="489">
        <f>(N87+N89+N90+N91+N92+N93)/-N95</f>
        <v>26.333333333333332</v>
      </c>
      <c r="O175" s="430" t="s">
        <v>115</v>
      </c>
      <c r="P175" s="418"/>
    </row>
    <row r="176" spans="1:256" s="419" customFormat="1" x14ac:dyDescent="0.3">
      <c r="A176" s="427"/>
      <c r="B176" s="428" t="s">
        <v>65</v>
      </c>
      <c r="C176" s="428"/>
      <c r="D176" s="428"/>
      <c r="E176" s="428"/>
      <c r="F176" s="428"/>
      <c r="G176" s="428"/>
      <c r="H176" s="428"/>
      <c r="I176" s="428"/>
      <c r="J176" s="428"/>
      <c r="K176" s="428"/>
      <c r="L176" s="428"/>
      <c r="M176" s="428"/>
      <c r="N176" s="506">
        <v>51.42</v>
      </c>
      <c r="O176" s="430" t="s">
        <v>115</v>
      </c>
      <c r="P176" s="418"/>
    </row>
    <row r="177" spans="1:16" s="419" customFormat="1" x14ac:dyDescent="0.3">
      <c r="A177" s="427"/>
      <c r="B177" s="428" t="s">
        <v>166</v>
      </c>
      <c r="C177" s="428"/>
      <c r="D177" s="428"/>
      <c r="E177" s="428"/>
      <c r="F177" s="428"/>
      <c r="G177" s="428"/>
      <c r="H177" s="428"/>
      <c r="I177" s="428"/>
      <c r="J177" s="428"/>
      <c r="K177" s="428"/>
      <c r="L177" s="428"/>
      <c r="M177" s="428"/>
      <c r="N177" s="489">
        <f>(N87+N89+N90+N91+N92+N93+N95)/-N96</f>
        <v>19</v>
      </c>
      <c r="O177" s="430" t="s">
        <v>115</v>
      </c>
      <c r="P177" s="418"/>
    </row>
    <row r="178" spans="1:16" s="419" customFormat="1" x14ac:dyDescent="0.3">
      <c r="A178" s="427"/>
      <c r="B178" s="428" t="s">
        <v>167</v>
      </c>
      <c r="C178" s="428"/>
      <c r="D178" s="428"/>
      <c r="E178" s="428"/>
      <c r="F178" s="428"/>
      <c r="G178" s="428"/>
      <c r="H178" s="428"/>
      <c r="I178" s="428"/>
      <c r="J178" s="428"/>
      <c r="K178" s="428"/>
      <c r="L178" s="428"/>
      <c r="M178" s="428"/>
      <c r="N178" s="506">
        <v>48.2</v>
      </c>
      <c r="O178" s="430" t="s">
        <v>115</v>
      </c>
      <c r="P178" s="418"/>
    </row>
    <row r="179" spans="1:16" s="419" customFormat="1" x14ac:dyDescent="0.3">
      <c r="A179" s="507"/>
      <c r="B179" s="508"/>
      <c r="C179" s="508"/>
      <c r="D179" s="508"/>
      <c r="E179" s="508"/>
      <c r="F179" s="508"/>
      <c r="G179" s="508"/>
      <c r="H179" s="508"/>
      <c r="I179" s="508"/>
      <c r="J179" s="508"/>
      <c r="K179" s="508"/>
      <c r="L179" s="508"/>
      <c r="M179" s="508"/>
      <c r="N179" s="508"/>
      <c r="O179" s="509"/>
      <c r="P179" s="418"/>
    </row>
    <row r="180" spans="1:16" s="419" customFormat="1" x14ac:dyDescent="0.3">
      <c r="A180" s="415"/>
      <c r="B180" s="458"/>
      <c r="C180" s="458"/>
      <c r="D180" s="458"/>
      <c r="E180" s="458"/>
      <c r="F180" s="458"/>
      <c r="G180" s="458"/>
      <c r="H180" s="458"/>
      <c r="I180" s="458"/>
      <c r="J180" s="458"/>
      <c r="K180" s="458"/>
      <c r="L180" s="458"/>
      <c r="M180" s="458"/>
      <c r="N180" s="458"/>
      <c r="O180" s="458"/>
      <c r="P180" s="418"/>
    </row>
    <row r="181" spans="1:16" s="419" customFormat="1" x14ac:dyDescent="0.3">
      <c r="A181" s="415"/>
      <c r="B181" s="416"/>
      <c r="C181" s="416"/>
      <c r="D181" s="416"/>
      <c r="E181" s="416"/>
      <c r="F181" s="416"/>
      <c r="G181" s="416"/>
      <c r="H181" s="416"/>
      <c r="I181" s="416"/>
      <c r="J181" s="416"/>
      <c r="K181" s="416"/>
      <c r="L181" s="416"/>
      <c r="M181" s="416"/>
      <c r="N181" s="416"/>
      <c r="O181" s="416"/>
      <c r="P181" s="418"/>
    </row>
    <row r="182" spans="1:16" s="419" customFormat="1" ht="18.600000000000001" thickBot="1" x14ac:dyDescent="0.4">
      <c r="A182" s="463"/>
      <c r="B182" s="464" t="str">
        <f>B115</f>
        <v>FF7 INVESTOR REPORT QUARTER ENDING NOVEMBER 2017</v>
      </c>
      <c r="C182" s="465"/>
      <c r="D182" s="465"/>
      <c r="E182" s="465"/>
      <c r="F182" s="465"/>
      <c r="G182" s="465"/>
      <c r="H182" s="465"/>
      <c r="I182" s="465"/>
      <c r="J182" s="465"/>
      <c r="K182" s="465"/>
      <c r="L182" s="465"/>
      <c r="M182" s="465"/>
      <c r="N182" s="465"/>
      <c r="O182" s="467"/>
      <c r="P182" s="418"/>
    </row>
    <row r="183" spans="1:16" x14ac:dyDescent="0.3">
      <c r="A183" s="603"/>
      <c r="B183" s="604" t="s">
        <v>66</v>
      </c>
      <c r="C183" s="607"/>
      <c r="D183" s="608"/>
      <c r="E183" s="608"/>
      <c r="F183" s="608"/>
      <c r="G183" s="608"/>
      <c r="H183" s="608"/>
      <c r="I183" s="608"/>
      <c r="J183" s="608"/>
      <c r="K183" s="608"/>
      <c r="L183" s="608">
        <v>43069</v>
      </c>
      <c r="M183" s="605"/>
      <c r="N183" s="605"/>
      <c r="O183" s="605"/>
      <c r="P183" s="402"/>
    </row>
    <row r="184" spans="1:16" x14ac:dyDescent="0.3">
      <c r="A184" s="510"/>
      <c r="B184" s="511"/>
      <c r="C184" s="512"/>
      <c r="D184" s="513"/>
      <c r="E184" s="513"/>
      <c r="F184" s="513"/>
      <c r="G184" s="513"/>
      <c r="H184" s="513"/>
      <c r="I184" s="513"/>
      <c r="J184" s="513"/>
      <c r="K184" s="513"/>
      <c r="L184" s="513"/>
      <c r="M184" s="478"/>
      <c r="N184" s="478"/>
      <c r="O184" s="478"/>
      <c r="P184" s="402"/>
    </row>
    <row r="185" spans="1:16" s="419" customFormat="1" x14ac:dyDescent="0.3">
      <c r="A185" s="427"/>
      <c r="B185" s="428" t="s">
        <v>67</v>
      </c>
      <c r="C185" s="514"/>
      <c r="D185" s="452"/>
      <c r="E185" s="452"/>
      <c r="F185" s="452"/>
      <c r="G185" s="452"/>
      <c r="H185" s="452"/>
      <c r="I185" s="452"/>
      <c r="J185" s="452"/>
      <c r="K185" s="452"/>
      <c r="L185" s="446">
        <v>7.2950000000000001E-2</v>
      </c>
      <c r="M185" s="428"/>
      <c r="N185" s="428"/>
      <c r="O185" s="430"/>
      <c r="P185" s="418"/>
    </row>
    <row r="186" spans="1:16" s="419" customFormat="1" x14ac:dyDescent="0.3">
      <c r="A186" s="427"/>
      <c r="B186" s="428" t="s">
        <v>213</v>
      </c>
      <c r="C186" s="514"/>
      <c r="D186" s="452"/>
      <c r="E186" s="452"/>
      <c r="F186" s="452"/>
      <c r="G186" s="452"/>
      <c r="H186" s="452"/>
      <c r="I186" s="452"/>
      <c r="J186" s="452"/>
      <c r="K186" s="452"/>
      <c r="L186" s="446">
        <v>5.79E-2</v>
      </c>
      <c r="M186" s="428"/>
      <c r="N186" s="428"/>
      <c r="O186" s="430"/>
      <c r="P186" s="418"/>
    </row>
    <row r="187" spans="1:16" s="419" customFormat="1" x14ac:dyDescent="0.3">
      <c r="A187" s="427"/>
      <c r="B187" s="428" t="s">
        <v>68</v>
      </c>
      <c r="C187" s="514"/>
      <c r="D187" s="452"/>
      <c r="E187" s="452"/>
      <c r="F187" s="452"/>
      <c r="G187" s="452"/>
      <c r="H187" s="452"/>
      <c r="I187" s="452"/>
      <c r="J187" s="452"/>
      <c r="K187" s="452"/>
      <c r="L187" s="446">
        <f>L185-L186</f>
        <v>1.5050000000000001E-2</v>
      </c>
      <c r="M187" s="428"/>
      <c r="N187" s="428"/>
      <c r="O187" s="430"/>
      <c r="P187" s="418"/>
    </row>
    <row r="188" spans="1:16" s="419" customFormat="1" x14ac:dyDescent="0.3">
      <c r="A188" s="427"/>
      <c r="B188" s="428" t="s">
        <v>69</v>
      </c>
      <c r="C188" s="514"/>
      <c r="D188" s="452"/>
      <c r="E188" s="452"/>
      <c r="F188" s="452"/>
      <c r="G188" s="452"/>
      <c r="H188" s="452"/>
      <c r="I188" s="452"/>
      <c r="J188" s="452"/>
      <c r="K188" s="452"/>
      <c r="L188" s="446">
        <v>4.0410000000000001E-2</v>
      </c>
      <c r="M188" s="428"/>
      <c r="N188" s="428"/>
      <c r="O188" s="430"/>
      <c r="P188" s="418"/>
    </row>
    <row r="189" spans="1:16" s="419" customFormat="1" x14ac:dyDescent="0.3">
      <c r="A189" s="427"/>
      <c r="B189" s="428" t="s">
        <v>212</v>
      </c>
      <c r="C189" s="514"/>
      <c r="D189" s="452"/>
      <c r="E189" s="452"/>
      <c r="F189" s="452"/>
      <c r="G189" s="452"/>
      <c r="H189" s="452"/>
      <c r="I189" s="452"/>
      <c r="J189" s="452"/>
      <c r="K189" s="452"/>
      <c r="L189" s="446">
        <f>N34</f>
        <v>6.1091873311830023E-3</v>
      </c>
      <c r="M189" s="428"/>
      <c r="N189" s="428"/>
      <c r="O189" s="430"/>
      <c r="P189" s="418"/>
    </row>
    <row r="190" spans="1:16" s="419" customFormat="1" x14ac:dyDescent="0.3">
      <c r="A190" s="427"/>
      <c r="B190" s="428" t="s">
        <v>70</v>
      </c>
      <c r="C190" s="514"/>
      <c r="D190" s="452"/>
      <c r="E190" s="452"/>
      <c r="F190" s="452"/>
      <c r="G190" s="452"/>
      <c r="H190" s="452"/>
      <c r="I190" s="452"/>
      <c r="J190" s="452"/>
      <c r="K190" s="452"/>
      <c r="L190" s="446">
        <f>L188-L189</f>
        <v>3.4300812668817002E-2</v>
      </c>
      <c r="M190" s="428"/>
      <c r="N190" s="428"/>
      <c r="O190" s="430"/>
      <c r="P190" s="418"/>
    </row>
    <row r="191" spans="1:16" s="419" customFormat="1" x14ac:dyDescent="0.3">
      <c r="A191" s="427"/>
      <c r="B191" s="428" t="s">
        <v>203</v>
      </c>
      <c r="C191" s="514"/>
      <c r="D191" s="452"/>
      <c r="E191" s="452"/>
      <c r="F191" s="452"/>
      <c r="G191" s="452"/>
      <c r="H191" s="452"/>
      <c r="I191" s="452"/>
      <c r="J191" s="452"/>
      <c r="K191" s="452"/>
      <c r="L191" s="446">
        <f>+N87/F59</f>
        <v>8.9224433768016476E-3</v>
      </c>
      <c r="M191" s="428"/>
      <c r="N191" s="428"/>
      <c r="O191" s="430"/>
      <c r="P191" s="418"/>
    </row>
    <row r="192" spans="1:16" s="419" customFormat="1" x14ac:dyDescent="0.3">
      <c r="A192" s="427"/>
      <c r="B192" s="428" t="s">
        <v>171</v>
      </c>
      <c r="C192" s="514"/>
      <c r="D192" s="452"/>
      <c r="E192" s="452"/>
      <c r="F192" s="452"/>
      <c r="G192" s="452"/>
      <c r="H192" s="452"/>
      <c r="I192" s="452"/>
      <c r="J192" s="452"/>
      <c r="K192" s="452"/>
      <c r="L192" s="515">
        <v>48823</v>
      </c>
      <c r="M192" s="428"/>
      <c r="N192" s="428"/>
      <c r="O192" s="430"/>
      <c r="P192" s="418"/>
    </row>
    <row r="193" spans="1:16" s="419" customFormat="1" x14ac:dyDescent="0.3">
      <c r="A193" s="427"/>
      <c r="B193" s="428" t="s">
        <v>172</v>
      </c>
      <c r="C193" s="514"/>
      <c r="D193" s="452"/>
      <c r="E193" s="452"/>
      <c r="F193" s="452"/>
      <c r="G193" s="452"/>
      <c r="H193" s="452"/>
      <c r="I193" s="452"/>
      <c r="J193" s="452"/>
      <c r="K193" s="452"/>
      <c r="L193" s="515">
        <v>48823</v>
      </c>
      <c r="M193" s="428"/>
      <c r="N193" s="428"/>
      <c r="O193" s="430"/>
      <c r="P193" s="418"/>
    </row>
    <row r="194" spans="1:16" s="419" customFormat="1" x14ac:dyDescent="0.3">
      <c r="A194" s="427"/>
      <c r="B194" s="428" t="s">
        <v>173</v>
      </c>
      <c r="C194" s="514"/>
      <c r="D194" s="452"/>
      <c r="E194" s="452"/>
      <c r="F194" s="452"/>
      <c r="G194" s="452"/>
      <c r="H194" s="452"/>
      <c r="I194" s="452"/>
      <c r="J194" s="452"/>
      <c r="K194" s="452"/>
      <c r="L194" s="515">
        <v>48823</v>
      </c>
      <c r="M194" s="428"/>
      <c r="N194" s="428"/>
      <c r="O194" s="430"/>
      <c r="P194" s="418"/>
    </row>
    <row r="195" spans="1:16" s="419" customFormat="1" x14ac:dyDescent="0.3">
      <c r="A195" s="427"/>
      <c r="B195" s="428" t="s">
        <v>71</v>
      </c>
      <c r="C195" s="514"/>
      <c r="D195" s="452"/>
      <c r="E195" s="452"/>
      <c r="F195" s="452"/>
      <c r="G195" s="452"/>
      <c r="H195" s="452"/>
      <c r="I195" s="452"/>
      <c r="J195" s="452"/>
      <c r="K195" s="452"/>
      <c r="L195" s="450">
        <v>9.93</v>
      </c>
      <c r="M195" s="428" t="s">
        <v>110</v>
      </c>
      <c r="N195" s="428"/>
      <c r="O195" s="430"/>
      <c r="P195" s="418"/>
    </row>
    <row r="196" spans="1:16" s="419" customFormat="1" x14ac:dyDescent="0.3">
      <c r="A196" s="427"/>
      <c r="B196" s="428" t="s">
        <v>72</v>
      </c>
      <c r="C196" s="514"/>
      <c r="D196" s="452"/>
      <c r="E196" s="452"/>
      <c r="F196" s="452"/>
      <c r="G196" s="452"/>
      <c r="H196" s="452"/>
      <c r="I196" s="452"/>
      <c r="J196" s="452"/>
      <c r="K196" s="452"/>
      <c r="L196" s="450">
        <v>4.33</v>
      </c>
      <c r="M196" s="428" t="s">
        <v>110</v>
      </c>
      <c r="N196" s="428"/>
      <c r="O196" s="430"/>
      <c r="P196" s="418"/>
    </row>
    <row r="197" spans="1:16" s="419" customFormat="1" x14ac:dyDescent="0.3">
      <c r="A197" s="427"/>
      <c r="B197" s="428" t="s">
        <v>73</v>
      </c>
      <c r="C197" s="514"/>
      <c r="D197" s="452"/>
      <c r="E197" s="452"/>
      <c r="F197" s="452"/>
      <c r="G197" s="452"/>
      <c r="H197" s="452"/>
      <c r="I197" s="452"/>
      <c r="J197" s="452"/>
      <c r="K197" s="452"/>
      <c r="L197" s="446">
        <f>+H56/F56</f>
        <v>6.97586963334378E-2</v>
      </c>
      <c r="M197" s="428"/>
      <c r="N197" s="428"/>
      <c r="O197" s="430"/>
      <c r="P197" s="418"/>
    </row>
    <row r="198" spans="1:16" s="419" customFormat="1" x14ac:dyDescent="0.3">
      <c r="A198" s="427"/>
      <c r="B198" s="428" t="s">
        <v>74</v>
      </c>
      <c r="C198" s="514"/>
      <c r="D198" s="452"/>
      <c r="E198" s="452"/>
      <c r="F198" s="452"/>
      <c r="G198" s="452"/>
      <c r="H198" s="452"/>
      <c r="I198" s="452"/>
      <c r="J198" s="452"/>
      <c r="K198" s="452"/>
      <c r="L198" s="446">
        <v>0.26989999999999997</v>
      </c>
      <c r="M198" s="428"/>
      <c r="N198" s="428"/>
      <c r="O198" s="430"/>
      <c r="P198" s="418"/>
    </row>
    <row r="199" spans="1:16" x14ac:dyDescent="0.3">
      <c r="A199" s="510"/>
      <c r="B199" s="476"/>
      <c r="C199" s="476"/>
      <c r="D199" s="476"/>
      <c r="E199" s="476"/>
      <c r="F199" s="476"/>
      <c r="G199" s="476"/>
      <c r="H199" s="476"/>
      <c r="I199" s="476"/>
      <c r="J199" s="476"/>
      <c r="K199" s="476"/>
      <c r="L199" s="516"/>
      <c r="M199" s="476"/>
      <c r="N199" s="517"/>
      <c r="O199" s="476"/>
      <c r="P199" s="402"/>
    </row>
    <row r="200" spans="1:16" x14ac:dyDescent="0.3">
      <c r="A200" s="609"/>
      <c r="B200" s="599" t="s">
        <v>75</v>
      </c>
      <c r="C200" s="601"/>
      <c r="D200" s="601"/>
      <c r="E200" s="601"/>
      <c r="F200" s="601"/>
      <c r="G200" s="601"/>
      <c r="H200" s="601"/>
      <c r="I200" s="601"/>
      <c r="J200" s="601"/>
      <c r="K200" s="601" t="s">
        <v>99</v>
      </c>
      <c r="L200" s="615" t="s">
        <v>106</v>
      </c>
      <c r="M200" s="591"/>
      <c r="N200" s="591"/>
      <c r="O200" s="594"/>
      <c r="P200" s="402"/>
    </row>
    <row r="201" spans="1:16" s="419" customFormat="1" x14ac:dyDescent="0.3">
      <c r="A201" s="610"/>
      <c r="B201" s="588" t="s">
        <v>76</v>
      </c>
      <c r="C201" s="597"/>
      <c r="D201" s="611"/>
      <c r="E201" s="611"/>
      <c r="F201" s="611"/>
      <c r="G201" s="611"/>
      <c r="H201" s="611"/>
      <c r="I201" s="611"/>
      <c r="J201" s="611"/>
      <c r="K201" s="611">
        <v>3</v>
      </c>
      <c r="L201" s="612">
        <v>199</v>
      </c>
      <c r="M201" s="588"/>
      <c r="N201" s="613"/>
      <c r="O201" s="614"/>
      <c r="P201" s="418"/>
    </row>
    <row r="202" spans="1:16" s="419" customFormat="1" x14ac:dyDescent="0.3">
      <c r="A202" s="518"/>
      <c r="B202" s="428" t="s">
        <v>136</v>
      </c>
      <c r="C202" s="469"/>
      <c r="D202" s="434"/>
      <c r="E202" s="434"/>
      <c r="F202" s="434"/>
      <c r="G202" s="434"/>
      <c r="H202" s="434"/>
      <c r="I202" s="434"/>
      <c r="J202" s="434"/>
      <c r="K202" s="522">
        <f>+J269</f>
        <v>0</v>
      </c>
      <c r="L202" s="519">
        <f>+L269</f>
        <v>0</v>
      </c>
      <c r="M202" s="428"/>
      <c r="N202" s="520"/>
      <c r="O202" s="521"/>
      <c r="P202" s="418"/>
    </row>
    <row r="203" spans="1:16" s="419" customFormat="1" x14ac:dyDescent="0.3">
      <c r="A203" s="518"/>
      <c r="B203" s="428" t="s">
        <v>77</v>
      </c>
      <c r="C203" s="469"/>
      <c r="D203" s="434"/>
      <c r="E203" s="434"/>
      <c r="F203" s="434"/>
      <c r="G203" s="434"/>
      <c r="H203" s="434"/>
      <c r="I203" s="434"/>
      <c r="J203" s="434"/>
      <c r="K203" s="522">
        <f>+J286</f>
        <v>1</v>
      </c>
      <c r="L203" s="519">
        <f>+L286</f>
        <v>93</v>
      </c>
      <c r="M203" s="428"/>
      <c r="N203" s="520"/>
      <c r="O203" s="521"/>
      <c r="P203" s="418"/>
    </row>
    <row r="204" spans="1:16" x14ac:dyDescent="0.3">
      <c r="A204" s="523"/>
      <c r="B204" s="562" t="s">
        <v>78</v>
      </c>
      <c r="C204" s="524"/>
      <c r="D204" s="443"/>
      <c r="E204" s="443"/>
      <c r="F204" s="443"/>
      <c r="G204" s="443"/>
      <c r="H204" s="443"/>
      <c r="I204" s="443"/>
      <c r="J204" s="443"/>
      <c r="K204" s="443"/>
      <c r="L204" s="519">
        <v>0</v>
      </c>
      <c r="M204" s="443"/>
      <c r="N204" s="525"/>
      <c r="O204" s="526"/>
      <c r="P204" s="402"/>
    </row>
    <row r="205" spans="1:16" x14ac:dyDescent="0.3">
      <c r="A205" s="523"/>
      <c r="B205" s="562" t="s">
        <v>79</v>
      </c>
      <c r="C205" s="524"/>
      <c r="D205" s="443"/>
      <c r="E205" s="443"/>
      <c r="F205" s="443"/>
      <c r="G205" s="443"/>
      <c r="H205" s="443"/>
      <c r="I205" s="443"/>
      <c r="J205" s="443"/>
      <c r="K205" s="443"/>
      <c r="L205" s="527" t="s">
        <v>107</v>
      </c>
      <c r="M205" s="443"/>
      <c r="N205" s="525"/>
      <c r="O205" s="526"/>
      <c r="P205" s="402"/>
    </row>
    <row r="206" spans="1:16" x14ac:dyDescent="0.3">
      <c r="A206" s="528"/>
      <c r="B206" s="562" t="s">
        <v>80</v>
      </c>
      <c r="C206" s="529"/>
      <c r="D206" s="443"/>
      <c r="E206" s="443"/>
      <c r="F206" s="443"/>
      <c r="G206" s="443"/>
      <c r="H206" s="443"/>
      <c r="I206" s="443"/>
      <c r="J206" s="443"/>
      <c r="K206" s="443"/>
      <c r="L206" s="530"/>
      <c r="M206" s="443"/>
      <c r="N206" s="525"/>
      <c r="O206" s="531"/>
      <c r="P206" s="402"/>
    </row>
    <row r="207" spans="1:16" s="419" customFormat="1" x14ac:dyDescent="0.3">
      <c r="A207" s="532"/>
      <c r="B207" s="428" t="s">
        <v>81</v>
      </c>
      <c r="C207" s="428"/>
      <c r="D207" s="428"/>
      <c r="E207" s="428"/>
      <c r="F207" s="428"/>
      <c r="G207" s="428"/>
      <c r="H207" s="428"/>
      <c r="I207" s="428"/>
      <c r="J207" s="428"/>
      <c r="K207" s="434"/>
      <c r="L207" s="519">
        <f>N144</f>
        <v>0</v>
      </c>
      <c r="M207" s="428"/>
      <c r="N207" s="520"/>
      <c r="O207" s="533"/>
      <c r="P207" s="418"/>
    </row>
    <row r="208" spans="1:16" s="419" customFormat="1" x14ac:dyDescent="0.3">
      <c r="A208" s="518"/>
      <c r="B208" s="428" t="s">
        <v>82</v>
      </c>
      <c r="C208" s="469"/>
      <c r="D208" s="428"/>
      <c r="E208" s="428"/>
      <c r="F208" s="428"/>
      <c r="G208" s="428"/>
      <c r="H208" s="428"/>
      <c r="I208" s="428"/>
      <c r="J208" s="428"/>
      <c r="K208" s="434"/>
      <c r="L208" s="519">
        <f>'Aug 17'!L208+L207</f>
        <v>216</v>
      </c>
      <c r="M208" s="428"/>
      <c r="N208" s="520"/>
      <c r="O208" s="533"/>
      <c r="P208" s="418"/>
    </row>
    <row r="209" spans="1:17" x14ac:dyDescent="0.3">
      <c r="A209" s="528"/>
      <c r="B209" s="562" t="s">
        <v>253</v>
      </c>
      <c r="C209" s="529"/>
      <c r="D209" s="443"/>
      <c r="E209" s="443"/>
      <c r="F209" s="443"/>
      <c r="G209" s="443"/>
      <c r="H209" s="443"/>
      <c r="I209" s="443"/>
      <c r="J209" s="443"/>
      <c r="K209" s="444"/>
      <c r="L209" s="530"/>
      <c r="M209" s="443"/>
      <c r="N209" s="525"/>
      <c r="O209" s="531"/>
      <c r="P209" s="402"/>
    </row>
    <row r="210" spans="1:17" s="419" customFormat="1" x14ac:dyDescent="0.3">
      <c r="A210" s="532"/>
      <c r="B210" s="428" t="s">
        <v>250</v>
      </c>
      <c r="C210" s="428"/>
      <c r="D210" s="428"/>
      <c r="E210" s="428"/>
      <c r="F210" s="428"/>
      <c r="G210" s="428"/>
      <c r="H210" s="428"/>
      <c r="I210" s="428"/>
      <c r="J210" s="428"/>
      <c r="K210" s="434">
        <v>0</v>
      </c>
      <c r="L210" s="519">
        <v>0</v>
      </c>
      <c r="M210" s="428"/>
      <c r="N210" s="520"/>
      <c r="O210" s="533"/>
      <c r="P210" s="418"/>
    </row>
    <row r="211" spans="1:17" s="419" customFormat="1" x14ac:dyDescent="0.3">
      <c r="A211" s="518"/>
      <c r="B211" s="428" t="s">
        <v>83</v>
      </c>
      <c r="C211" s="449"/>
      <c r="D211" s="428"/>
      <c r="E211" s="428"/>
      <c r="F211" s="428"/>
      <c r="G211" s="428"/>
      <c r="H211" s="428"/>
      <c r="I211" s="428"/>
      <c r="J211" s="428"/>
      <c r="K211" s="428"/>
      <c r="L211" s="527">
        <v>0</v>
      </c>
      <c r="M211" s="428"/>
      <c r="N211" s="520"/>
      <c r="O211" s="533"/>
      <c r="P211" s="418"/>
    </row>
    <row r="212" spans="1:17" s="419" customFormat="1" x14ac:dyDescent="0.3">
      <c r="A212" s="518"/>
      <c r="B212" s="428" t="s">
        <v>84</v>
      </c>
      <c r="C212" s="449"/>
      <c r="D212" s="428"/>
      <c r="E212" s="428"/>
      <c r="F212" s="428"/>
      <c r="G212" s="428"/>
      <c r="H212" s="428"/>
      <c r="I212" s="428"/>
      <c r="J212" s="428"/>
      <c r="K212" s="428"/>
      <c r="L212" s="527">
        <v>0</v>
      </c>
      <c r="M212" s="428"/>
      <c r="N212" s="520"/>
      <c r="O212" s="533"/>
      <c r="P212" s="418"/>
    </row>
    <row r="213" spans="1:17" x14ac:dyDescent="0.3">
      <c r="A213" s="523"/>
      <c r="B213" s="562" t="s">
        <v>177</v>
      </c>
      <c r="C213" s="534"/>
      <c r="D213" s="443"/>
      <c r="E213" s="443"/>
      <c r="F213" s="443"/>
      <c r="G213" s="443"/>
      <c r="H213" s="443"/>
      <c r="I213" s="443"/>
      <c r="J213" s="443"/>
      <c r="K213" s="443"/>
      <c r="L213" s="535"/>
      <c r="M213" s="443"/>
      <c r="N213" s="525"/>
      <c r="O213" s="531"/>
      <c r="P213" s="402"/>
    </row>
    <row r="214" spans="1:17" s="419" customFormat="1" x14ac:dyDescent="0.3">
      <c r="A214" s="518"/>
      <c r="B214" s="428" t="s">
        <v>250</v>
      </c>
      <c r="C214" s="449"/>
      <c r="D214" s="428"/>
      <c r="E214" s="428"/>
      <c r="F214" s="428"/>
      <c r="G214" s="428"/>
      <c r="H214" s="428"/>
      <c r="I214" s="428"/>
      <c r="J214" s="428"/>
      <c r="K214" s="434">
        <v>0</v>
      </c>
      <c r="L214" s="519">
        <v>0</v>
      </c>
      <c r="M214" s="428"/>
      <c r="N214" s="520"/>
      <c r="O214" s="533"/>
      <c r="P214" s="418"/>
    </row>
    <row r="215" spans="1:17" s="419" customFormat="1" x14ac:dyDescent="0.3">
      <c r="A215" s="518"/>
      <c r="B215" s="428" t="s">
        <v>178</v>
      </c>
      <c r="C215" s="449"/>
      <c r="D215" s="428"/>
      <c r="E215" s="428"/>
      <c r="F215" s="428"/>
      <c r="G215" s="428"/>
      <c r="H215" s="428"/>
      <c r="I215" s="428"/>
      <c r="J215" s="428"/>
      <c r="K215" s="428"/>
      <c r="L215" s="527">
        <v>0</v>
      </c>
      <c r="M215" s="428"/>
      <c r="N215" s="520"/>
      <c r="O215" s="533"/>
      <c r="P215" s="418"/>
    </row>
    <row r="216" spans="1:17" x14ac:dyDescent="0.3">
      <c r="A216" s="523"/>
      <c r="B216" s="529"/>
      <c r="C216" s="534"/>
      <c r="D216" s="443"/>
      <c r="E216" s="443"/>
      <c r="F216" s="443"/>
      <c r="G216" s="443"/>
      <c r="H216" s="443"/>
      <c r="I216" s="443"/>
      <c r="J216" s="443"/>
      <c r="K216" s="443"/>
      <c r="L216" s="535"/>
      <c r="M216" s="443"/>
      <c r="N216" s="525"/>
      <c r="O216" s="531"/>
      <c r="P216" s="402"/>
    </row>
    <row r="217" spans="1:17" x14ac:dyDescent="0.3">
      <c r="A217" s="523"/>
      <c r="B217" s="529"/>
      <c r="C217" s="534"/>
      <c r="D217" s="443"/>
      <c r="E217" s="443"/>
      <c r="F217" s="443"/>
      <c r="G217" s="443"/>
      <c r="H217" s="443"/>
      <c r="I217" s="443"/>
      <c r="J217" s="443"/>
      <c r="K217" s="443"/>
      <c r="L217" s="535"/>
      <c r="M217" s="443"/>
      <c r="N217" s="525"/>
      <c r="O217" s="531"/>
      <c r="P217" s="402"/>
    </row>
    <row r="218" spans="1:17" ht="18" x14ac:dyDescent="0.35">
      <c r="A218" s="523"/>
      <c r="B218" s="582" t="s">
        <v>294</v>
      </c>
      <c r="C218" s="534"/>
      <c r="D218" s="443"/>
      <c r="E218" s="583"/>
      <c r="F218" s="443"/>
      <c r="G218" s="443"/>
      <c r="H218" s="536"/>
      <c r="I218" s="443"/>
      <c r="J218" s="443"/>
      <c r="K218" s="584" t="s">
        <v>293</v>
      </c>
      <c r="L218" s="535"/>
      <c r="M218" s="443"/>
      <c r="N218" s="525"/>
      <c r="O218" s="531"/>
      <c r="P218" s="402"/>
    </row>
    <row r="219" spans="1:17" ht="18" x14ac:dyDescent="0.35">
      <c r="A219" s="537"/>
      <c r="B219" s="538"/>
      <c r="C219" s="539"/>
      <c r="D219" s="471"/>
      <c r="E219" s="471"/>
      <c r="F219" s="471"/>
      <c r="G219" s="471"/>
      <c r="H219" s="540"/>
      <c r="I219" s="471"/>
      <c r="J219" s="471"/>
      <c r="K219" s="471"/>
      <c r="L219" s="541"/>
      <c r="M219" s="471"/>
      <c r="N219" s="542"/>
      <c r="O219" s="543"/>
      <c r="P219" s="402"/>
    </row>
    <row r="220" spans="1:17" x14ac:dyDescent="0.3">
      <c r="A220" s="585"/>
      <c r="B220" s="599" t="s">
        <v>258</v>
      </c>
      <c r="C220" s="601"/>
      <c r="D220" s="601"/>
      <c r="E220" s="601"/>
      <c r="F220" s="601"/>
      <c r="G220" s="601"/>
      <c r="H220" s="601"/>
      <c r="I220" s="601"/>
      <c r="J220" s="619" t="s">
        <v>99</v>
      </c>
      <c r="K220" s="601" t="s">
        <v>100</v>
      </c>
      <c r="L220" s="615" t="s">
        <v>108</v>
      </c>
      <c r="M220" s="601" t="s">
        <v>100</v>
      </c>
      <c r="N220" s="591"/>
      <c r="O220" s="620"/>
      <c r="P220" s="402"/>
    </row>
    <row r="221" spans="1:17" s="419" customFormat="1" x14ac:dyDescent="0.3">
      <c r="A221" s="587"/>
      <c r="B221" s="597" t="s">
        <v>85</v>
      </c>
      <c r="C221" s="616"/>
      <c r="D221" s="616"/>
      <c r="E221" s="616"/>
      <c r="F221" s="616"/>
      <c r="G221" s="616"/>
      <c r="H221" s="616"/>
      <c r="I221" s="616"/>
      <c r="J221" s="597">
        <f t="shared" ref="J221:J233" si="1">+J238+J255+J272</f>
        <v>384</v>
      </c>
      <c r="K221" s="617">
        <f t="shared" ref="K221:K233" si="2">J221/$J$235</f>
        <v>0.95049504950495045</v>
      </c>
      <c r="L221" s="598">
        <f t="shared" ref="L221:L233" si="3">+L238+L255+L272</f>
        <v>14041</v>
      </c>
      <c r="M221" s="617">
        <f t="shared" ref="M221:M233" si="4">L221/$L$235</f>
        <v>0.94603153213852575</v>
      </c>
      <c r="N221" s="613"/>
      <c r="O221" s="618"/>
      <c r="P221" s="418"/>
    </row>
    <row r="222" spans="1:17" s="419" customFormat="1" x14ac:dyDescent="0.3">
      <c r="A222" s="427"/>
      <c r="B222" s="469" t="s">
        <v>86</v>
      </c>
      <c r="C222" s="544"/>
      <c r="D222" s="544"/>
      <c r="E222" s="544"/>
      <c r="F222" s="544"/>
      <c r="G222" s="544"/>
      <c r="H222" s="544"/>
      <c r="I222" s="544"/>
      <c r="J222" s="469">
        <f t="shared" si="1"/>
        <v>2</v>
      </c>
      <c r="K222" s="545">
        <f t="shared" si="2"/>
        <v>4.9504950495049506E-3</v>
      </c>
      <c r="L222" s="470">
        <f t="shared" si="3"/>
        <v>98</v>
      </c>
      <c r="M222" s="545">
        <f t="shared" si="4"/>
        <v>6.6028837083950947E-3</v>
      </c>
      <c r="N222" s="520"/>
      <c r="O222" s="533"/>
      <c r="P222" s="418"/>
      <c r="Q222" s="482"/>
    </row>
    <row r="223" spans="1:17" s="419" customFormat="1" x14ac:dyDescent="0.3">
      <c r="A223" s="427"/>
      <c r="B223" s="469" t="s">
        <v>87</v>
      </c>
      <c r="C223" s="544"/>
      <c r="D223" s="544"/>
      <c r="E223" s="544"/>
      <c r="F223" s="544"/>
      <c r="G223" s="544"/>
      <c r="H223" s="544"/>
      <c r="I223" s="544"/>
      <c r="J223" s="469">
        <f t="shared" si="1"/>
        <v>5</v>
      </c>
      <c r="K223" s="545">
        <f t="shared" si="2"/>
        <v>1.2376237623762377E-2</v>
      </c>
      <c r="L223" s="470">
        <f t="shared" si="3"/>
        <v>228</v>
      </c>
      <c r="M223" s="545">
        <f t="shared" si="4"/>
        <v>1.5361811076674302E-2</v>
      </c>
      <c r="N223" s="520"/>
      <c r="O223" s="533"/>
      <c r="P223" s="418"/>
    </row>
    <row r="224" spans="1:17" s="419" customFormat="1" x14ac:dyDescent="0.3">
      <c r="A224" s="427"/>
      <c r="B224" s="469" t="s">
        <v>145</v>
      </c>
      <c r="C224" s="544"/>
      <c r="D224" s="544"/>
      <c r="E224" s="544"/>
      <c r="F224" s="544"/>
      <c r="G224" s="544"/>
      <c r="H224" s="544"/>
      <c r="I224" s="544"/>
      <c r="J224" s="469">
        <f t="shared" si="1"/>
        <v>3</v>
      </c>
      <c r="K224" s="545">
        <f t="shared" si="2"/>
        <v>7.4257425742574254E-3</v>
      </c>
      <c r="L224" s="470">
        <f t="shared" si="3"/>
        <v>143</v>
      </c>
      <c r="M224" s="545">
        <f t="shared" si="4"/>
        <v>9.6348201051071284E-3</v>
      </c>
      <c r="N224" s="520"/>
      <c r="O224" s="533"/>
      <c r="P224" s="418"/>
      <c r="Q224" s="482"/>
    </row>
    <row r="225" spans="1:17" s="419" customFormat="1" x14ac:dyDescent="0.3">
      <c r="A225" s="427"/>
      <c r="B225" s="469" t="s">
        <v>146</v>
      </c>
      <c r="C225" s="544"/>
      <c r="D225" s="544"/>
      <c r="E225" s="544"/>
      <c r="F225" s="544"/>
      <c r="G225" s="544"/>
      <c r="H225" s="544"/>
      <c r="I225" s="544"/>
      <c r="J225" s="469">
        <f t="shared" si="1"/>
        <v>0</v>
      </c>
      <c r="K225" s="545">
        <f t="shared" si="2"/>
        <v>0</v>
      </c>
      <c r="L225" s="470">
        <f t="shared" si="3"/>
        <v>0</v>
      </c>
      <c r="M225" s="545">
        <f t="shared" si="4"/>
        <v>0</v>
      </c>
      <c r="N225" s="520"/>
      <c r="O225" s="533"/>
      <c r="P225" s="418"/>
    </row>
    <row r="226" spans="1:17" s="419" customFormat="1" x14ac:dyDescent="0.3">
      <c r="A226" s="427"/>
      <c r="B226" s="469" t="s">
        <v>147</v>
      </c>
      <c r="C226" s="544"/>
      <c r="D226" s="544"/>
      <c r="E226" s="544"/>
      <c r="F226" s="544"/>
      <c r="G226" s="544"/>
      <c r="H226" s="544"/>
      <c r="I226" s="544"/>
      <c r="J226" s="469">
        <f t="shared" si="1"/>
        <v>1</v>
      </c>
      <c r="K226" s="545">
        <f t="shared" si="2"/>
        <v>2.4752475247524753E-3</v>
      </c>
      <c r="L226" s="470">
        <f t="shared" si="3"/>
        <v>93</v>
      </c>
      <c r="M226" s="545">
        <f t="shared" si="4"/>
        <v>6.2660018865382024E-3</v>
      </c>
      <c r="N226" s="520"/>
      <c r="O226" s="533"/>
      <c r="P226" s="418"/>
      <c r="Q226" s="482"/>
    </row>
    <row r="227" spans="1:17" s="419" customFormat="1" x14ac:dyDescent="0.3">
      <c r="A227" s="427"/>
      <c r="B227" s="469" t="s">
        <v>227</v>
      </c>
      <c r="C227" s="544"/>
      <c r="D227" s="544"/>
      <c r="E227" s="544"/>
      <c r="F227" s="544"/>
      <c r="G227" s="544"/>
      <c r="H227" s="544"/>
      <c r="I227" s="544"/>
      <c r="J227" s="469">
        <f t="shared" si="1"/>
        <v>0</v>
      </c>
      <c r="K227" s="545">
        <f t="shared" si="2"/>
        <v>0</v>
      </c>
      <c r="L227" s="470">
        <f t="shared" si="3"/>
        <v>0</v>
      </c>
      <c r="M227" s="545">
        <f t="shared" si="4"/>
        <v>0</v>
      </c>
      <c r="N227" s="520"/>
      <c r="O227" s="533"/>
      <c r="P227" s="418"/>
    </row>
    <row r="228" spans="1:17" s="419" customFormat="1" x14ac:dyDescent="0.3">
      <c r="A228" s="427"/>
      <c r="B228" s="469" t="s">
        <v>228</v>
      </c>
      <c r="C228" s="544"/>
      <c r="D228" s="544"/>
      <c r="E228" s="544"/>
      <c r="F228" s="544"/>
      <c r="G228" s="544"/>
      <c r="H228" s="544"/>
      <c r="I228" s="544"/>
      <c r="J228" s="469">
        <f t="shared" si="1"/>
        <v>1</v>
      </c>
      <c r="K228" s="545">
        <f t="shared" si="2"/>
        <v>2.4752475247524753E-3</v>
      </c>
      <c r="L228" s="470">
        <f t="shared" si="3"/>
        <v>110</v>
      </c>
      <c r="M228" s="545">
        <f t="shared" si="4"/>
        <v>7.4114000808516373E-3</v>
      </c>
      <c r="N228" s="520"/>
      <c r="O228" s="533"/>
      <c r="P228" s="418"/>
      <c r="Q228" s="482"/>
    </row>
    <row r="229" spans="1:17" s="419" customFormat="1" x14ac:dyDescent="0.3">
      <c r="A229" s="427"/>
      <c r="B229" s="469" t="s">
        <v>229</v>
      </c>
      <c r="C229" s="544"/>
      <c r="D229" s="544"/>
      <c r="E229" s="544"/>
      <c r="F229" s="544"/>
      <c r="G229" s="544"/>
      <c r="H229" s="544"/>
      <c r="I229" s="544"/>
      <c r="J229" s="469">
        <f t="shared" si="1"/>
        <v>1</v>
      </c>
      <c r="K229" s="545">
        <f t="shared" si="2"/>
        <v>2.4752475247524753E-3</v>
      </c>
      <c r="L229" s="470">
        <f t="shared" si="3"/>
        <v>15</v>
      </c>
      <c r="M229" s="545">
        <f t="shared" si="4"/>
        <v>1.0106454655706778E-3</v>
      </c>
      <c r="N229" s="520"/>
      <c r="O229" s="533"/>
      <c r="P229" s="418"/>
      <c r="Q229" s="482"/>
    </row>
    <row r="230" spans="1:17" s="419" customFormat="1" x14ac:dyDescent="0.3">
      <c r="A230" s="427"/>
      <c r="B230" s="469" t="s">
        <v>230</v>
      </c>
      <c r="C230" s="544"/>
      <c r="D230" s="544"/>
      <c r="E230" s="544"/>
      <c r="F230" s="544"/>
      <c r="G230" s="544"/>
      <c r="H230" s="544"/>
      <c r="I230" s="544"/>
      <c r="J230" s="469">
        <f t="shared" si="1"/>
        <v>1</v>
      </c>
      <c r="K230" s="545">
        <f t="shared" si="2"/>
        <v>2.4752475247524753E-3</v>
      </c>
      <c r="L230" s="470">
        <f t="shared" si="3"/>
        <v>14</v>
      </c>
      <c r="M230" s="545">
        <f t="shared" si="4"/>
        <v>9.4326910119929932E-4</v>
      </c>
      <c r="N230" s="520"/>
      <c r="O230" s="533"/>
      <c r="P230" s="418"/>
      <c r="Q230" s="482"/>
    </row>
    <row r="231" spans="1:17" s="419" customFormat="1" x14ac:dyDescent="0.3">
      <c r="A231" s="427"/>
      <c r="B231" s="469" t="s">
        <v>231</v>
      </c>
      <c r="C231" s="544"/>
      <c r="D231" s="544"/>
      <c r="E231" s="544"/>
      <c r="F231" s="544"/>
      <c r="G231" s="544"/>
      <c r="H231" s="544"/>
      <c r="I231" s="544"/>
      <c r="J231" s="469">
        <f t="shared" si="1"/>
        <v>0</v>
      </c>
      <c r="K231" s="545">
        <f t="shared" si="2"/>
        <v>0</v>
      </c>
      <c r="L231" s="470">
        <f t="shared" si="3"/>
        <v>0</v>
      </c>
      <c r="M231" s="545">
        <f t="shared" si="4"/>
        <v>0</v>
      </c>
      <c r="N231" s="520"/>
      <c r="O231" s="533"/>
      <c r="P231" s="418"/>
      <c r="Q231" s="482"/>
    </row>
    <row r="232" spans="1:17" s="419" customFormat="1" x14ac:dyDescent="0.3">
      <c r="A232" s="427"/>
      <c r="B232" s="469" t="s">
        <v>232</v>
      </c>
      <c r="C232" s="544"/>
      <c r="D232" s="544"/>
      <c r="E232" s="544"/>
      <c r="F232" s="544"/>
      <c r="G232" s="544"/>
      <c r="H232" s="544"/>
      <c r="I232" s="544"/>
      <c r="J232" s="469">
        <f t="shared" si="1"/>
        <v>1</v>
      </c>
      <c r="K232" s="545">
        <f t="shared" si="2"/>
        <v>2.4752475247524753E-3</v>
      </c>
      <c r="L232" s="470">
        <f t="shared" si="3"/>
        <v>52</v>
      </c>
      <c r="M232" s="545">
        <f t="shared" si="4"/>
        <v>3.5035709473116832E-3</v>
      </c>
      <c r="N232" s="520"/>
      <c r="O232" s="533"/>
      <c r="P232" s="418"/>
      <c r="Q232" s="482"/>
    </row>
    <row r="233" spans="1:17" s="419" customFormat="1" x14ac:dyDescent="0.3">
      <c r="A233" s="427"/>
      <c r="B233" s="469" t="s">
        <v>233</v>
      </c>
      <c r="C233" s="544"/>
      <c r="D233" s="544"/>
      <c r="E233" s="544"/>
      <c r="F233" s="544"/>
      <c r="G233" s="544"/>
      <c r="H233" s="544"/>
      <c r="I233" s="544"/>
      <c r="J233" s="469">
        <f t="shared" si="1"/>
        <v>5</v>
      </c>
      <c r="K233" s="545">
        <f t="shared" si="2"/>
        <v>1.2376237623762377E-2</v>
      </c>
      <c r="L233" s="470">
        <f t="shared" si="3"/>
        <v>48</v>
      </c>
      <c r="M233" s="545">
        <f t="shared" si="4"/>
        <v>3.2340654898261692E-3</v>
      </c>
      <c r="N233" s="520"/>
      <c r="O233" s="533"/>
      <c r="P233" s="418"/>
      <c r="Q233" s="482"/>
    </row>
    <row r="234" spans="1:17" s="419" customFormat="1" x14ac:dyDescent="0.3">
      <c r="A234" s="427"/>
      <c r="B234" s="469"/>
      <c r="C234" s="544"/>
      <c r="D234" s="544"/>
      <c r="E234" s="544"/>
      <c r="F234" s="544"/>
      <c r="G234" s="544"/>
      <c r="H234" s="544"/>
      <c r="I234" s="544"/>
      <c r="J234" s="469"/>
      <c r="K234" s="545"/>
      <c r="L234" s="470"/>
      <c r="M234" s="545"/>
      <c r="N234" s="520"/>
      <c r="O234" s="533"/>
      <c r="P234" s="418"/>
      <c r="Q234" s="482"/>
    </row>
    <row r="235" spans="1:17" s="419" customFormat="1" x14ac:dyDescent="0.3">
      <c r="A235" s="427"/>
      <c r="B235" s="428"/>
      <c r="C235" s="428"/>
      <c r="D235" s="546"/>
      <c r="E235" s="546"/>
      <c r="F235" s="546"/>
      <c r="G235" s="546"/>
      <c r="H235" s="546"/>
      <c r="I235" s="546"/>
      <c r="J235" s="469">
        <f>SUM(J221:J234)</f>
        <v>404</v>
      </c>
      <c r="K235" s="545">
        <f>SUM(K221:K234)</f>
        <v>1</v>
      </c>
      <c r="L235" s="470">
        <f>SUM(L221:L234)</f>
        <v>14842</v>
      </c>
      <c r="M235" s="545">
        <f>SUM(M221:M234)</f>
        <v>1</v>
      </c>
      <c r="N235" s="428"/>
      <c r="O235" s="430"/>
      <c r="P235" s="418"/>
    </row>
    <row r="236" spans="1:17" x14ac:dyDescent="0.3">
      <c r="A236" s="537"/>
      <c r="B236" s="547"/>
      <c r="C236" s="539"/>
      <c r="D236" s="471"/>
      <c r="E236" s="471"/>
      <c r="F236" s="471"/>
      <c r="G236" s="471"/>
      <c r="H236" s="471"/>
      <c r="I236" s="471"/>
      <c r="J236" s="471"/>
      <c r="K236" s="471"/>
      <c r="L236" s="541"/>
      <c r="M236" s="471"/>
      <c r="N236" s="542"/>
      <c r="O236" s="543"/>
      <c r="P236" s="402"/>
    </row>
    <row r="237" spans="1:17" x14ac:dyDescent="0.3">
      <c r="A237" s="585"/>
      <c r="B237" s="599" t="s">
        <v>149</v>
      </c>
      <c r="C237" s="601"/>
      <c r="D237" s="601"/>
      <c r="E237" s="601"/>
      <c r="F237" s="601"/>
      <c r="G237" s="601"/>
      <c r="H237" s="601"/>
      <c r="I237" s="601"/>
      <c r="J237" s="619" t="s">
        <v>99</v>
      </c>
      <c r="K237" s="601" t="s">
        <v>100</v>
      </c>
      <c r="L237" s="615" t="s">
        <v>108</v>
      </c>
      <c r="M237" s="601" t="s">
        <v>100</v>
      </c>
      <c r="N237" s="591"/>
      <c r="O237" s="620"/>
      <c r="P237" s="402"/>
    </row>
    <row r="238" spans="1:17" s="419" customFormat="1" x14ac:dyDescent="0.3">
      <c r="A238" s="587"/>
      <c r="B238" s="597" t="s">
        <v>85</v>
      </c>
      <c r="C238" s="616"/>
      <c r="D238" s="616"/>
      <c r="E238" s="616"/>
      <c r="F238" s="616"/>
      <c r="G238" s="616"/>
      <c r="H238" s="616"/>
      <c r="I238" s="616"/>
      <c r="J238" s="597">
        <v>384</v>
      </c>
      <c r="K238" s="617">
        <f t="shared" ref="K238:K250" si="5">J238/$J$252</f>
        <v>0.95285359801488834</v>
      </c>
      <c r="L238" s="598">
        <v>14041</v>
      </c>
      <c r="M238" s="617">
        <f t="shared" ref="M238:M250" si="6">L238/$L$252</f>
        <v>0.9519967455420707</v>
      </c>
      <c r="N238" s="613"/>
      <c r="O238" s="618"/>
      <c r="P238" s="418"/>
    </row>
    <row r="239" spans="1:17" s="419" customFormat="1" x14ac:dyDescent="0.3">
      <c r="A239" s="427"/>
      <c r="B239" s="469" t="s">
        <v>86</v>
      </c>
      <c r="C239" s="544"/>
      <c r="D239" s="544"/>
      <c r="E239" s="544"/>
      <c r="F239" s="544"/>
      <c r="G239" s="544"/>
      <c r="H239" s="544"/>
      <c r="I239" s="544"/>
      <c r="J239" s="469">
        <v>2</v>
      </c>
      <c r="K239" s="545">
        <f t="shared" si="5"/>
        <v>4.9627791563275434E-3</v>
      </c>
      <c r="L239" s="470">
        <v>98</v>
      </c>
      <c r="M239" s="545">
        <f t="shared" si="6"/>
        <v>6.6445182724252493E-3</v>
      </c>
      <c r="N239" s="520"/>
      <c r="O239" s="533"/>
      <c r="P239" s="418"/>
      <c r="Q239" s="482"/>
    </row>
    <row r="240" spans="1:17" s="419" customFormat="1" x14ac:dyDescent="0.3">
      <c r="A240" s="427"/>
      <c r="B240" s="469" t="s">
        <v>87</v>
      </c>
      <c r="C240" s="544"/>
      <c r="D240" s="544"/>
      <c r="E240" s="544"/>
      <c r="F240" s="544"/>
      <c r="G240" s="544"/>
      <c r="H240" s="544"/>
      <c r="I240" s="544"/>
      <c r="J240" s="469">
        <v>5</v>
      </c>
      <c r="K240" s="545">
        <f t="shared" si="5"/>
        <v>1.2406947890818859E-2</v>
      </c>
      <c r="L240" s="470">
        <v>228</v>
      </c>
      <c r="M240" s="545">
        <f t="shared" si="6"/>
        <v>1.5458675164417927E-2</v>
      </c>
      <c r="N240" s="520"/>
      <c r="O240" s="533"/>
      <c r="P240" s="418"/>
    </row>
    <row r="241" spans="1:17" s="419" customFormat="1" x14ac:dyDescent="0.3">
      <c r="A241" s="427"/>
      <c r="B241" s="469" t="s">
        <v>145</v>
      </c>
      <c r="C241" s="544"/>
      <c r="D241" s="544"/>
      <c r="E241" s="544"/>
      <c r="F241" s="544"/>
      <c r="G241" s="544"/>
      <c r="H241" s="544"/>
      <c r="I241" s="544"/>
      <c r="J241" s="469">
        <v>3</v>
      </c>
      <c r="K241" s="545">
        <f t="shared" si="5"/>
        <v>7.4441687344913151E-3</v>
      </c>
      <c r="L241" s="470">
        <v>143</v>
      </c>
      <c r="M241" s="545">
        <f t="shared" si="6"/>
        <v>9.6955725811919448E-3</v>
      </c>
      <c r="N241" s="520"/>
      <c r="O241" s="533"/>
      <c r="P241" s="418"/>
      <c r="Q241" s="482"/>
    </row>
    <row r="242" spans="1:17" s="419" customFormat="1" x14ac:dyDescent="0.3">
      <c r="A242" s="427"/>
      <c r="B242" s="469" t="s">
        <v>146</v>
      </c>
      <c r="C242" s="544"/>
      <c r="D242" s="544"/>
      <c r="E242" s="544"/>
      <c r="F242" s="544"/>
      <c r="G242" s="544"/>
      <c r="H242" s="544"/>
      <c r="I242" s="544"/>
      <c r="J242" s="469">
        <v>0</v>
      </c>
      <c r="K242" s="545">
        <f t="shared" si="5"/>
        <v>0</v>
      </c>
      <c r="L242" s="470">
        <v>0</v>
      </c>
      <c r="M242" s="545">
        <f t="shared" si="6"/>
        <v>0</v>
      </c>
      <c r="N242" s="520"/>
      <c r="O242" s="533"/>
      <c r="P242" s="418"/>
    </row>
    <row r="243" spans="1:17" s="419" customFormat="1" x14ac:dyDescent="0.3">
      <c r="A243" s="427"/>
      <c r="B243" s="469" t="s">
        <v>147</v>
      </c>
      <c r="C243" s="544"/>
      <c r="D243" s="544"/>
      <c r="E243" s="544"/>
      <c r="F243" s="544"/>
      <c r="G243" s="544"/>
      <c r="H243" s="544"/>
      <c r="I243" s="544"/>
      <c r="J243" s="469">
        <v>0</v>
      </c>
      <c r="K243" s="545">
        <f t="shared" si="5"/>
        <v>0</v>
      </c>
      <c r="L243" s="470">
        <v>0</v>
      </c>
      <c r="M243" s="545">
        <f t="shared" si="6"/>
        <v>0</v>
      </c>
      <c r="N243" s="520"/>
      <c r="O243" s="533"/>
      <c r="P243" s="418"/>
      <c r="Q243" s="482"/>
    </row>
    <row r="244" spans="1:17" s="419" customFormat="1" x14ac:dyDescent="0.3">
      <c r="A244" s="427"/>
      <c r="B244" s="469" t="s">
        <v>227</v>
      </c>
      <c r="C244" s="544"/>
      <c r="D244" s="544"/>
      <c r="E244" s="544"/>
      <c r="F244" s="544"/>
      <c r="G244" s="544"/>
      <c r="H244" s="544"/>
      <c r="I244" s="544"/>
      <c r="J244" s="469">
        <v>0</v>
      </c>
      <c r="K244" s="545">
        <f t="shared" si="5"/>
        <v>0</v>
      </c>
      <c r="L244" s="470">
        <v>0</v>
      </c>
      <c r="M244" s="545">
        <f t="shared" si="6"/>
        <v>0</v>
      </c>
      <c r="N244" s="520"/>
      <c r="O244" s="533"/>
      <c r="P244" s="418"/>
    </row>
    <row r="245" spans="1:17" s="419" customFormat="1" x14ac:dyDescent="0.3">
      <c r="A245" s="427"/>
      <c r="B245" s="469" t="s">
        <v>228</v>
      </c>
      <c r="C245" s="544"/>
      <c r="D245" s="544"/>
      <c r="E245" s="544"/>
      <c r="F245" s="544"/>
      <c r="G245" s="544"/>
      <c r="H245" s="544"/>
      <c r="I245" s="544"/>
      <c r="J245" s="469">
        <v>1</v>
      </c>
      <c r="K245" s="545">
        <f t="shared" si="5"/>
        <v>2.4813895781637717E-3</v>
      </c>
      <c r="L245" s="470">
        <v>110</v>
      </c>
      <c r="M245" s="545">
        <f t="shared" si="6"/>
        <v>7.4581327547630352E-3</v>
      </c>
      <c r="N245" s="520"/>
      <c r="O245" s="533"/>
      <c r="P245" s="418"/>
      <c r="Q245" s="482"/>
    </row>
    <row r="246" spans="1:17" s="419" customFormat="1" x14ac:dyDescent="0.3">
      <c r="A246" s="427"/>
      <c r="B246" s="469" t="s">
        <v>229</v>
      </c>
      <c r="C246" s="544"/>
      <c r="D246" s="544"/>
      <c r="E246" s="544"/>
      <c r="F246" s="544"/>
      <c r="G246" s="544"/>
      <c r="H246" s="544"/>
      <c r="I246" s="544"/>
      <c r="J246" s="469">
        <v>1</v>
      </c>
      <c r="K246" s="545">
        <f t="shared" si="5"/>
        <v>2.4813895781637717E-3</v>
      </c>
      <c r="L246" s="470">
        <v>15</v>
      </c>
      <c r="M246" s="545">
        <f t="shared" si="6"/>
        <v>1.0170181029222321E-3</v>
      </c>
      <c r="N246" s="520"/>
      <c r="O246" s="533"/>
      <c r="P246" s="418"/>
      <c r="Q246" s="482"/>
    </row>
    <row r="247" spans="1:17" s="419" customFormat="1" x14ac:dyDescent="0.3">
      <c r="A247" s="427"/>
      <c r="B247" s="469" t="s">
        <v>230</v>
      </c>
      <c r="C247" s="544"/>
      <c r="D247" s="544"/>
      <c r="E247" s="544"/>
      <c r="F247" s="544"/>
      <c r="G247" s="544"/>
      <c r="H247" s="544"/>
      <c r="I247" s="544"/>
      <c r="J247" s="469">
        <v>1</v>
      </c>
      <c r="K247" s="545">
        <f t="shared" si="5"/>
        <v>2.4813895781637717E-3</v>
      </c>
      <c r="L247" s="470">
        <v>14</v>
      </c>
      <c r="M247" s="545">
        <f t="shared" si="6"/>
        <v>9.4921689606074992E-4</v>
      </c>
      <c r="N247" s="520"/>
      <c r="O247" s="533"/>
      <c r="P247" s="418"/>
      <c r="Q247" s="482"/>
    </row>
    <row r="248" spans="1:17" s="419" customFormat="1" x14ac:dyDescent="0.3">
      <c r="A248" s="427"/>
      <c r="B248" s="469" t="s">
        <v>231</v>
      </c>
      <c r="C248" s="544"/>
      <c r="D248" s="544"/>
      <c r="E248" s="544"/>
      <c r="F248" s="544"/>
      <c r="G248" s="544"/>
      <c r="H248" s="544"/>
      <c r="I248" s="544"/>
      <c r="J248" s="469">
        <v>0</v>
      </c>
      <c r="K248" s="545">
        <f t="shared" si="5"/>
        <v>0</v>
      </c>
      <c r="L248" s="470">
        <v>0</v>
      </c>
      <c r="M248" s="545">
        <f t="shared" si="6"/>
        <v>0</v>
      </c>
      <c r="N248" s="520"/>
      <c r="O248" s="533"/>
      <c r="P248" s="418"/>
      <c r="Q248" s="482"/>
    </row>
    <row r="249" spans="1:17" s="419" customFormat="1" x14ac:dyDescent="0.3">
      <c r="A249" s="427"/>
      <c r="B249" s="469" t="s">
        <v>232</v>
      </c>
      <c r="C249" s="544"/>
      <c r="D249" s="544"/>
      <c r="E249" s="544"/>
      <c r="F249" s="544"/>
      <c r="G249" s="544"/>
      <c r="H249" s="544"/>
      <c r="I249" s="544"/>
      <c r="J249" s="469">
        <v>1</v>
      </c>
      <c r="K249" s="545">
        <f t="shared" si="5"/>
        <v>2.4813895781637717E-3</v>
      </c>
      <c r="L249" s="470">
        <v>52</v>
      </c>
      <c r="M249" s="545">
        <f t="shared" si="6"/>
        <v>3.5256627567970709E-3</v>
      </c>
      <c r="N249" s="548"/>
      <c r="O249" s="533"/>
      <c r="P249" s="418"/>
      <c r="Q249" s="482"/>
    </row>
    <row r="250" spans="1:17" s="419" customFormat="1" x14ac:dyDescent="0.3">
      <c r="A250" s="427"/>
      <c r="B250" s="469" t="s">
        <v>233</v>
      </c>
      <c r="C250" s="544"/>
      <c r="D250" s="544"/>
      <c r="E250" s="544"/>
      <c r="F250" s="544"/>
      <c r="G250" s="544"/>
      <c r="H250" s="544"/>
      <c r="I250" s="544"/>
      <c r="J250" s="469">
        <v>5</v>
      </c>
      <c r="K250" s="545">
        <f t="shared" si="5"/>
        <v>1.2406947890818859E-2</v>
      </c>
      <c r="L250" s="470">
        <v>48</v>
      </c>
      <c r="M250" s="545">
        <f t="shared" si="6"/>
        <v>3.2544579293511426E-3</v>
      </c>
      <c r="N250" s="548"/>
      <c r="O250" s="533"/>
      <c r="P250" s="418"/>
      <c r="Q250" s="482"/>
    </row>
    <row r="251" spans="1:17" s="419" customFormat="1" ht="18" customHeight="1" x14ac:dyDescent="0.3">
      <c r="A251" s="427"/>
      <c r="B251" s="469"/>
      <c r="C251" s="544"/>
      <c r="D251" s="544"/>
      <c r="E251" s="544"/>
      <c r="F251" s="544"/>
      <c r="G251" s="544"/>
      <c r="H251" s="544"/>
      <c r="I251" s="544"/>
      <c r="J251" s="469"/>
      <c r="K251" s="545"/>
      <c r="L251" s="470"/>
      <c r="M251" s="545"/>
      <c r="N251" s="520"/>
      <c r="O251" s="533"/>
      <c r="P251" s="418"/>
      <c r="Q251" s="482"/>
    </row>
    <row r="252" spans="1:17" s="419" customFormat="1" x14ac:dyDescent="0.3">
      <c r="A252" s="427"/>
      <c r="B252" s="428"/>
      <c r="C252" s="428"/>
      <c r="D252" s="546"/>
      <c r="E252" s="546"/>
      <c r="F252" s="546"/>
      <c r="G252" s="546"/>
      <c r="H252" s="546"/>
      <c r="I252" s="546"/>
      <c r="J252" s="469">
        <f>SUM(J238:J251)</f>
        <v>403</v>
      </c>
      <c r="K252" s="545">
        <f>SUM(K238:K251)</f>
        <v>1</v>
      </c>
      <c r="L252" s="470">
        <f>SUM(L238:L251)</f>
        <v>14749</v>
      </c>
      <c r="M252" s="545">
        <f>SUM(M238:M251)</f>
        <v>1</v>
      </c>
      <c r="N252" s="428"/>
      <c r="O252" s="430"/>
      <c r="P252" s="418"/>
    </row>
    <row r="253" spans="1:17" x14ac:dyDescent="0.3">
      <c r="A253" s="404"/>
      <c r="B253" s="476"/>
      <c r="C253" s="476"/>
      <c r="D253" s="549"/>
      <c r="E253" s="549"/>
      <c r="F253" s="549"/>
      <c r="G253" s="549"/>
      <c r="H253" s="549"/>
      <c r="I253" s="549"/>
      <c r="J253" s="477"/>
      <c r="K253" s="550"/>
      <c r="L253" s="498"/>
      <c r="M253" s="550"/>
      <c r="N253" s="476"/>
      <c r="O253" s="476"/>
      <c r="P253" s="402"/>
    </row>
    <row r="254" spans="1:17" x14ac:dyDescent="0.3">
      <c r="A254" s="585"/>
      <c r="B254" s="599" t="s">
        <v>204</v>
      </c>
      <c r="C254" s="601"/>
      <c r="D254" s="601"/>
      <c r="E254" s="601"/>
      <c r="F254" s="601"/>
      <c r="G254" s="601"/>
      <c r="H254" s="601"/>
      <c r="I254" s="601"/>
      <c r="J254" s="619" t="s">
        <v>99</v>
      </c>
      <c r="K254" s="601" t="s">
        <v>100</v>
      </c>
      <c r="L254" s="615" t="s">
        <v>108</v>
      </c>
      <c r="M254" s="601" t="s">
        <v>100</v>
      </c>
      <c r="N254" s="591"/>
      <c r="O254" s="594"/>
      <c r="P254" s="402"/>
    </row>
    <row r="255" spans="1:17" s="419" customFormat="1" x14ac:dyDescent="0.3">
      <c r="A255" s="587"/>
      <c r="B255" s="597" t="s">
        <v>85</v>
      </c>
      <c r="C255" s="616"/>
      <c r="D255" s="616"/>
      <c r="E255" s="616"/>
      <c r="F255" s="616"/>
      <c r="G255" s="616"/>
      <c r="H255" s="616"/>
      <c r="I255" s="616"/>
      <c r="J255" s="597">
        <v>0</v>
      </c>
      <c r="K255" s="617">
        <v>0</v>
      </c>
      <c r="L255" s="598">
        <v>0</v>
      </c>
      <c r="M255" s="617">
        <v>0</v>
      </c>
      <c r="N255" s="588"/>
      <c r="O255" s="590"/>
      <c r="P255" s="418"/>
    </row>
    <row r="256" spans="1:17" s="419" customFormat="1" x14ac:dyDescent="0.3">
      <c r="A256" s="427"/>
      <c r="B256" s="469" t="s">
        <v>86</v>
      </c>
      <c r="C256" s="544"/>
      <c r="D256" s="544"/>
      <c r="E256" s="544"/>
      <c r="F256" s="544"/>
      <c r="G256" s="544"/>
      <c r="H256" s="544"/>
      <c r="I256" s="544"/>
      <c r="J256" s="469">
        <v>0</v>
      </c>
      <c r="K256" s="545">
        <v>0</v>
      </c>
      <c r="L256" s="470">
        <v>0</v>
      </c>
      <c r="M256" s="545">
        <v>0</v>
      </c>
      <c r="N256" s="428"/>
      <c r="O256" s="430"/>
      <c r="P256" s="418"/>
    </row>
    <row r="257" spans="1:16" s="419" customFormat="1" x14ac:dyDescent="0.3">
      <c r="A257" s="427"/>
      <c r="B257" s="469" t="s">
        <v>87</v>
      </c>
      <c r="C257" s="544"/>
      <c r="D257" s="544"/>
      <c r="E257" s="544"/>
      <c r="F257" s="544"/>
      <c r="G257" s="544"/>
      <c r="H257" s="544"/>
      <c r="I257" s="544"/>
      <c r="J257" s="469">
        <v>0</v>
      </c>
      <c r="K257" s="545">
        <v>0</v>
      </c>
      <c r="L257" s="470">
        <v>0</v>
      </c>
      <c r="M257" s="545">
        <v>0</v>
      </c>
      <c r="N257" s="428"/>
      <c r="O257" s="430"/>
      <c r="P257" s="418"/>
    </row>
    <row r="258" spans="1:16" s="419" customFormat="1" x14ac:dyDescent="0.3">
      <c r="A258" s="427"/>
      <c r="B258" s="469" t="s">
        <v>145</v>
      </c>
      <c r="C258" s="544"/>
      <c r="D258" s="544"/>
      <c r="E258" s="544"/>
      <c r="F258" s="544"/>
      <c r="G258" s="544"/>
      <c r="H258" s="544"/>
      <c r="I258" s="544"/>
      <c r="J258" s="469">
        <v>0</v>
      </c>
      <c r="K258" s="545">
        <v>0</v>
      </c>
      <c r="L258" s="470">
        <v>0</v>
      </c>
      <c r="M258" s="545">
        <v>0</v>
      </c>
      <c r="N258" s="428"/>
      <c r="O258" s="430"/>
      <c r="P258" s="418"/>
    </row>
    <row r="259" spans="1:16" s="419" customFormat="1" x14ac:dyDescent="0.3">
      <c r="A259" s="427"/>
      <c r="B259" s="469" t="s">
        <v>146</v>
      </c>
      <c r="C259" s="544"/>
      <c r="D259" s="544"/>
      <c r="E259" s="544"/>
      <c r="F259" s="544"/>
      <c r="G259" s="544"/>
      <c r="H259" s="544"/>
      <c r="I259" s="544"/>
      <c r="J259" s="469">
        <v>0</v>
      </c>
      <c r="K259" s="545">
        <v>0</v>
      </c>
      <c r="L259" s="470">
        <v>0</v>
      </c>
      <c r="M259" s="545">
        <v>0</v>
      </c>
      <c r="N259" s="428"/>
      <c r="O259" s="430"/>
      <c r="P259" s="418"/>
    </row>
    <row r="260" spans="1:16" s="419" customFormat="1" x14ac:dyDescent="0.3">
      <c r="A260" s="427"/>
      <c r="B260" s="469" t="s">
        <v>147</v>
      </c>
      <c r="C260" s="544"/>
      <c r="D260" s="544"/>
      <c r="E260" s="544"/>
      <c r="F260" s="544"/>
      <c r="G260" s="544"/>
      <c r="H260" s="544"/>
      <c r="I260" s="544"/>
      <c r="J260" s="469">
        <v>0</v>
      </c>
      <c r="K260" s="545">
        <v>0</v>
      </c>
      <c r="L260" s="470">
        <v>0</v>
      </c>
      <c r="M260" s="545">
        <v>0</v>
      </c>
      <c r="N260" s="428"/>
      <c r="O260" s="430"/>
      <c r="P260" s="418"/>
    </row>
    <row r="261" spans="1:16" s="419" customFormat="1" x14ac:dyDescent="0.3">
      <c r="A261" s="427"/>
      <c r="B261" s="469" t="s">
        <v>227</v>
      </c>
      <c r="C261" s="544"/>
      <c r="D261" s="544"/>
      <c r="E261" s="544"/>
      <c r="F261" s="544"/>
      <c r="G261" s="544"/>
      <c r="H261" s="544"/>
      <c r="I261" s="544"/>
      <c r="J261" s="469">
        <v>0</v>
      </c>
      <c r="K261" s="545">
        <v>0</v>
      </c>
      <c r="L261" s="470">
        <v>0</v>
      </c>
      <c r="M261" s="545">
        <v>0</v>
      </c>
      <c r="N261" s="428"/>
      <c r="O261" s="430"/>
      <c r="P261" s="418"/>
    </row>
    <row r="262" spans="1:16" s="419" customFormat="1" x14ac:dyDescent="0.3">
      <c r="A262" s="427"/>
      <c r="B262" s="469" t="s">
        <v>228</v>
      </c>
      <c r="C262" s="544"/>
      <c r="D262" s="544"/>
      <c r="E262" s="544"/>
      <c r="F262" s="544"/>
      <c r="G262" s="544"/>
      <c r="H262" s="544"/>
      <c r="I262" s="544"/>
      <c r="J262" s="469">
        <v>0</v>
      </c>
      <c r="K262" s="545">
        <v>0</v>
      </c>
      <c r="L262" s="470">
        <v>0</v>
      </c>
      <c r="M262" s="545">
        <v>0</v>
      </c>
      <c r="N262" s="428"/>
      <c r="O262" s="430"/>
      <c r="P262" s="418"/>
    </row>
    <row r="263" spans="1:16" s="419" customFormat="1" x14ac:dyDescent="0.3">
      <c r="A263" s="427"/>
      <c r="B263" s="469" t="s">
        <v>229</v>
      </c>
      <c r="C263" s="544"/>
      <c r="D263" s="544"/>
      <c r="E263" s="544"/>
      <c r="F263" s="544"/>
      <c r="G263" s="544"/>
      <c r="H263" s="544"/>
      <c r="I263" s="544"/>
      <c r="J263" s="469">
        <v>0</v>
      </c>
      <c r="K263" s="545">
        <v>0</v>
      </c>
      <c r="L263" s="470">
        <v>0</v>
      </c>
      <c r="M263" s="545">
        <v>0</v>
      </c>
      <c r="N263" s="428"/>
      <c r="O263" s="430"/>
      <c r="P263" s="418"/>
    </row>
    <row r="264" spans="1:16" s="419" customFormat="1" x14ac:dyDescent="0.3">
      <c r="A264" s="427"/>
      <c r="B264" s="469" t="s">
        <v>230</v>
      </c>
      <c r="C264" s="544"/>
      <c r="D264" s="544"/>
      <c r="E264" s="544"/>
      <c r="F264" s="544"/>
      <c r="G264" s="544"/>
      <c r="H264" s="544"/>
      <c r="I264" s="544"/>
      <c r="J264" s="469">
        <v>0</v>
      </c>
      <c r="K264" s="545">
        <v>0</v>
      </c>
      <c r="L264" s="470">
        <v>0</v>
      </c>
      <c r="M264" s="545">
        <v>0</v>
      </c>
      <c r="N264" s="428"/>
      <c r="O264" s="430"/>
      <c r="P264" s="418"/>
    </row>
    <row r="265" spans="1:16" s="419" customFormat="1" x14ac:dyDescent="0.3">
      <c r="A265" s="427"/>
      <c r="B265" s="469" t="s">
        <v>231</v>
      </c>
      <c r="C265" s="544"/>
      <c r="D265" s="544"/>
      <c r="E265" s="544"/>
      <c r="F265" s="544"/>
      <c r="G265" s="544"/>
      <c r="H265" s="544"/>
      <c r="I265" s="544"/>
      <c r="J265" s="469">
        <v>0</v>
      </c>
      <c r="K265" s="545">
        <v>0</v>
      </c>
      <c r="L265" s="470">
        <v>0</v>
      </c>
      <c r="M265" s="545">
        <v>0</v>
      </c>
      <c r="N265" s="428"/>
      <c r="O265" s="430"/>
      <c r="P265" s="418"/>
    </row>
    <row r="266" spans="1:16" s="419" customFormat="1" x14ac:dyDescent="0.3">
      <c r="A266" s="427"/>
      <c r="B266" s="469" t="s">
        <v>232</v>
      </c>
      <c r="C266" s="544"/>
      <c r="D266" s="544"/>
      <c r="E266" s="544"/>
      <c r="F266" s="544"/>
      <c r="G266" s="544"/>
      <c r="H266" s="544"/>
      <c r="I266" s="544"/>
      <c r="J266" s="469">
        <v>0</v>
      </c>
      <c r="K266" s="545">
        <v>0</v>
      </c>
      <c r="L266" s="470">
        <v>0</v>
      </c>
      <c r="M266" s="545">
        <v>0</v>
      </c>
      <c r="N266" s="428"/>
      <c r="O266" s="430"/>
      <c r="P266" s="418"/>
    </row>
    <row r="267" spans="1:16" s="419" customFormat="1" x14ac:dyDescent="0.3">
      <c r="A267" s="427"/>
      <c r="B267" s="469" t="s">
        <v>233</v>
      </c>
      <c r="C267" s="544"/>
      <c r="D267" s="544"/>
      <c r="E267" s="544"/>
      <c r="F267" s="544"/>
      <c r="G267" s="544"/>
      <c r="H267" s="544"/>
      <c r="I267" s="544"/>
      <c r="J267" s="469">
        <v>0</v>
      </c>
      <c r="K267" s="545">
        <v>0</v>
      </c>
      <c r="L267" s="470">
        <v>0</v>
      </c>
      <c r="M267" s="545">
        <v>0</v>
      </c>
      <c r="N267" s="428"/>
      <c r="O267" s="430"/>
      <c r="P267" s="418"/>
    </row>
    <row r="268" spans="1:16" s="419" customFormat="1" x14ac:dyDescent="0.3">
      <c r="A268" s="427"/>
      <c r="B268" s="469"/>
      <c r="C268" s="544"/>
      <c r="D268" s="544"/>
      <c r="E268" s="544"/>
      <c r="F268" s="544"/>
      <c r="G268" s="544"/>
      <c r="H268" s="544"/>
      <c r="I268" s="544"/>
      <c r="J268" s="469"/>
      <c r="K268" s="545"/>
      <c r="L268" s="470"/>
      <c r="M268" s="545"/>
      <c r="N268" s="428"/>
      <c r="O268" s="430"/>
      <c r="P268" s="418"/>
    </row>
    <row r="269" spans="1:16" s="419" customFormat="1" x14ac:dyDescent="0.3">
      <c r="A269" s="427"/>
      <c r="B269" s="428"/>
      <c r="C269" s="428"/>
      <c r="D269" s="546"/>
      <c r="E269" s="546"/>
      <c r="F269" s="546"/>
      <c r="G269" s="546"/>
      <c r="H269" s="546"/>
      <c r="I269" s="546"/>
      <c r="J269" s="469">
        <f>SUM(J255:J268)</f>
        <v>0</v>
      </c>
      <c r="K269" s="545">
        <f>SUM(K255:K268)</f>
        <v>0</v>
      </c>
      <c r="L269" s="470">
        <f>SUM(L255:L268)</f>
        <v>0</v>
      </c>
      <c r="M269" s="545">
        <f>SUM(M255:M268)</f>
        <v>0</v>
      </c>
      <c r="N269" s="428"/>
      <c r="O269" s="430"/>
      <c r="P269" s="418"/>
    </row>
    <row r="270" spans="1:16" x14ac:dyDescent="0.3">
      <c r="A270" s="404"/>
      <c r="B270" s="476"/>
      <c r="C270" s="476"/>
      <c r="D270" s="549"/>
      <c r="E270" s="549"/>
      <c r="F270" s="549"/>
      <c r="G270" s="549"/>
      <c r="H270" s="549"/>
      <c r="I270" s="549"/>
      <c r="J270" s="477"/>
      <c r="K270" s="550"/>
      <c r="L270" s="498"/>
      <c r="M270" s="550"/>
      <c r="N270" s="476"/>
      <c r="O270" s="476"/>
      <c r="P270" s="402"/>
    </row>
    <row r="271" spans="1:16" x14ac:dyDescent="0.3">
      <c r="A271" s="585"/>
      <c r="B271" s="599" t="s">
        <v>150</v>
      </c>
      <c r="C271" s="591"/>
      <c r="D271" s="621"/>
      <c r="E271" s="621"/>
      <c r="F271" s="621"/>
      <c r="G271" s="621"/>
      <c r="H271" s="621"/>
      <c r="I271" s="621"/>
      <c r="J271" s="619" t="s">
        <v>99</v>
      </c>
      <c r="K271" s="601" t="s">
        <v>100</v>
      </c>
      <c r="L271" s="615" t="s">
        <v>108</v>
      </c>
      <c r="M271" s="601" t="s">
        <v>100</v>
      </c>
      <c r="N271" s="591"/>
      <c r="O271" s="594"/>
      <c r="P271" s="402"/>
    </row>
    <row r="272" spans="1:16" s="419" customFormat="1" x14ac:dyDescent="0.3">
      <c r="A272" s="587"/>
      <c r="B272" s="597" t="s">
        <v>85</v>
      </c>
      <c r="C272" s="588"/>
      <c r="D272" s="622"/>
      <c r="E272" s="622"/>
      <c r="F272" s="622"/>
      <c r="G272" s="622"/>
      <c r="H272" s="622"/>
      <c r="I272" s="622"/>
      <c r="J272" s="597">
        <v>0</v>
      </c>
      <c r="K272" s="617">
        <f t="shared" ref="K272:K284" si="7">J272/$J$286</f>
        <v>0</v>
      </c>
      <c r="L272" s="598">
        <v>0</v>
      </c>
      <c r="M272" s="617">
        <f t="shared" ref="M272:M284" si="8">L272/$L$286</f>
        <v>0</v>
      </c>
      <c r="N272" s="588"/>
      <c r="O272" s="590"/>
      <c r="P272" s="418"/>
    </row>
    <row r="273" spans="1:16" s="419" customFormat="1" x14ac:dyDescent="0.3">
      <c r="A273" s="427"/>
      <c r="B273" s="469" t="s">
        <v>86</v>
      </c>
      <c r="C273" s="428"/>
      <c r="D273" s="546"/>
      <c r="E273" s="546"/>
      <c r="F273" s="546"/>
      <c r="G273" s="546"/>
      <c r="H273" s="546"/>
      <c r="I273" s="546"/>
      <c r="J273" s="469">
        <v>0</v>
      </c>
      <c r="K273" s="545">
        <f t="shared" si="7"/>
        <v>0</v>
      </c>
      <c r="L273" s="470">
        <v>0</v>
      </c>
      <c r="M273" s="545">
        <f t="shared" si="8"/>
        <v>0</v>
      </c>
      <c r="N273" s="428"/>
      <c r="O273" s="430"/>
      <c r="P273" s="418"/>
    </row>
    <row r="274" spans="1:16" s="419" customFormat="1" x14ac:dyDescent="0.3">
      <c r="A274" s="427"/>
      <c r="B274" s="469" t="s">
        <v>87</v>
      </c>
      <c r="C274" s="428"/>
      <c r="D274" s="546"/>
      <c r="E274" s="546"/>
      <c r="F274" s="546"/>
      <c r="G274" s="546"/>
      <c r="H274" s="546"/>
      <c r="I274" s="546"/>
      <c r="J274" s="469">
        <v>0</v>
      </c>
      <c r="K274" s="545">
        <f t="shared" si="7"/>
        <v>0</v>
      </c>
      <c r="L274" s="470">
        <v>0</v>
      </c>
      <c r="M274" s="545">
        <f t="shared" si="8"/>
        <v>0</v>
      </c>
      <c r="N274" s="428"/>
      <c r="O274" s="430"/>
      <c r="P274" s="418"/>
    </row>
    <row r="275" spans="1:16" s="419" customFormat="1" x14ac:dyDescent="0.3">
      <c r="A275" s="427"/>
      <c r="B275" s="469" t="s">
        <v>145</v>
      </c>
      <c r="C275" s="428"/>
      <c r="D275" s="546"/>
      <c r="E275" s="546"/>
      <c r="F275" s="546"/>
      <c r="G275" s="546"/>
      <c r="H275" s="546"/>
      <c r="I275" s="546"/>
      <c r="J275" s="469">
        <v>0</v>
      </c>
      <c r="K275" s="545">
        <f t="shared" si="7"/>
        <v>0</v>
      </c>
      <c r="L275" s="470">
        <v>0</v>
      </c>
      <c r="M275" s="545">
        <f t="shared" si="8"/>
        <v>0</v>
      </c>
      <c r="N275" s="428"/>
      <c r="O275" s="430"/>
      <c r="P275" s="418"/>
    </row>
    <row r="276" spans="1:16" s="419" customFormat="1" x14ac:dyDescent="0.3">
      <c r="A276" s="427"/>
      <c r="B276" s="469" t="s">
        <v>146</v>
      </c>
      <c r="C276" s="428"/>
      <c r="D276" s="546"/>
      <c r="E276" s="546"/>
      <c r="F276" s="546"/>
      <c r="G276" s="546"/>
      <c r="H276" s="546"/>
      <c r="I276" s="546"/>
      <c r="J276" s="469">
        <v>0</v>
      </c>
      <c r="K276" s="545">
        <f t="shared" si="7"/>
        <v>0</v>
      </c>
      <c r="L276" s="470">
        <v>0</v>
      </c>
      <c r="M276" s="545">
        <f t="shared" si="8"/>
        <v>0</v>
      </c>
      <c r="N276" s="428"/>
      <c r="O276" s="430"/>
      <c r="P276" s="418"/>
    </row>
    <row r="277" spans="1:16" s="419" customFormat="1" x14ac:dyDescent="0.3">
      <c r="A277" s="427"/>
      <c r="B277" s="469" t="s">
        <v>147</v>
      </c>
      <c r="C277" s="428"/>
      <c r="D277" s="546"/>
      <c r="E277" s="546"/>
      <c r="F277" s="546"/>
      <c r="G277" s="546"/>
      <c r="H277" s="546"/>
      <c r="I277" s="546"/>
      <c r="J277" s="469">
        <v>1</v>
      </c>
      <c r="K277" s="545">
        <f t="shared" si="7"/>
        <v>1</v>
      </c>
      <c r="L277" s="470">
        <v>93</v>
      </c>
      <c r="M277" s="545">
        <f t="shared" si="8"/>
        <v>1</v>
      </c>
      <c r="N277" s="428"/>
      <c r="O277" s="430"/>
      <c r="P277" s="418"/>
    </row>
    <row r="278" spans="1:16" s="419" customFormat="1" x14ac:dyDescent="0.3">
      <c r="A278" s="427"/>
      <c r="B278" s="469" t="s">
        <v>227</v>
      </c>
      <c r="C278" s="428"/>
      <c r="D278" s="546"/>
      <c r="E278" s="546"/>
      <c r="F278" s="546"/>
      <c r="G278" s="546"/>
      <c r="H278" s="546"/>
      <c r="I278" s="546"/>
      <c r="J278" s="469">
        <v>0</v>
      </c>
      <c r="K278" s="545">
        <f t="shared" si="7"/>
        <v>0</v>
      </c>
      <c r="L278" s="470">
        <v>0</v>
      </c>
      <c r="M278" s="545">
        <f t="shared" si="8"/>
        <v>0</v>
      </c>
      <c r="N278" s="428"/>
      <c r="O278" s="430"/>
      <c r="P278" s="418"/>
    </row>
    <row r="279" spans="1:16" s="419" customFormat="1" x14ac:dyDescent="0.3">
      <c r="A279" s="427"/>
      <c r="B279" s="469" t="s">
        <v>228</v>
      </c>
      <c r="C279" s="428"/>
      <c r="D279" s="546"/>
      <c r="E279" s="546"/>
      <c r="F279" s="546"/>
      <c r="G279" s="546"/>
      <c r="H279" s="546"/>
      <c r="I279" s="546"/>
      <c r="J279" s="469">
        <v>0</v>
      </c>
      <c r="K279" s="545">
        <f t="shared" si="7"/>
        <v>0</v>
      </c>
      <c r="L279" s="470">
        <v>0</v>
      </c>
      <c r="M279" s="545">
        <f t="shared" si="8"/>
        <v>0</v>
      </c>
      <c r="N279" s="428"/>
      <c r="O279" s="430"/>
      <c r="P279" s="418"/>
    </row>
    <row r="280" spans="1:16" s="419" customFormat="1" x14ac:dyDescent="0.3">
      <c r="A280" s="427"/>
      <c r="B280" s="469" t="s">
        <v>229</v>
      </c>
      <c r="C280" s="428"/>
      <c r="D280" s="546"/>
      <c r="E280" s="546"/>
      <c r="F280" s="546"/>
      <c r="G280" s="546"/>
      <c r="H280" s="546"/>
      <c r="I280" s="546"/>
      <c r="J280" s="469">
        <v>0</v>
      </c>
      <c r="K280" s="545">
        <f t="shared" si="7"/>
        <v>0</v>
      </c>
      <c r="L280" s="470">
        <v>0</v>
      </c>
      <c r="M280" s="545">
        <f t="shared" si="8"/>
        <v>0</v>
      </c>
      <c r="N280" s="428"/>
      <c r="O280" s="430"/>
      <c r="P280" s="418"/>
    </row>
    <row r="281" spans="1:16" s="419" customFormat="1" x14ac:dyDescent="0.3">
      <c r="A281" s="427"/>
      <c r="B281" s="469" t="s">
        <v>230</v>
      </c>
      <c r="C281" s="428"/>
      <c r="D281" s="546"/>
      <c r="E281" s="546"/>
      <c r="F281" s="546"/>
      <c r="G281" s="546"/>
      <c r="H281" s="546"/>
      <c r="I281" s="546"/>
      <c r="J281" s="469">
        <v>0</v>
      </c>
      <c r="K281" s="545">
        <f t="shared" si="7"/>
        <v>0</v>
      </c>
      <c r="L281" s="470">
        <v>0</v>
      </c>
      <c r="M281" s="545">
        <f t="shared" si="8"/>
        <v>0</v>
      </c>
      <c r="N281" s="428"/>
      <c r="O281" s="430"/>
      <c r="P281" s="418"/>
    </row>
    <row r="282" spans="1:16" s="419" customFormat="1" x14ac:dyDescent="0.3">
      <c r="A282" s="427"/>
      <c r="B282" s="469" t="s">
        <v>231</v>
      </c>
      <c r="C282" s="428"/>
      <c r="D282" s="546"/>
      <c r="E282" s="546"/>
      <c r="F282" s="546"/>
      <c r="G282" s="546"/>
      <c r="H282" s="546"/>
      <c r="I282" s="546"/>
      <c r="J282" s="469">
        <v>0</v>
      </c>
      <c r="K282" s="545">
        <f t="shared" si="7"/>
        <v>0</v>
      </c>
      <c r="L282" s="470">
        <v>0</v>
      </c>
      <c r="M282" s="545">
        <f t="shared" si="8"/>
        <v>0</v>
      </c>
      <c r="N282" s="428"/>
      <c r="O282" s="430"/>
      <c r="P282" s="418"/>
    </row>
    <row r="283" spans="1:16" s="419" customFormat="1" x14ac:dyDescent="0.3">
      <c r="A283" s="427"/>
      <c r="B283" s="469" t="s">
        <v>232</v>
      </c>
      <c r="C283" s="428"/>
      <c r="D283" s="546"/>
      <c r="E283" s="546"/>
      <c r="F283" s="546"/>
      <c r="G283" s="546"/>
      <c r="H283" s="546"/>
      <c r="I283" s="546"/>
      <c r="J283" s="469">
        <v>0</v>
      </c>
      <c r="K283" s="545">
        <f t="shared" si="7"/>
        <v>0</v>
      </c>
      <c r="L283" s="470">
        <v>0</v>
      </c>
      <c r="M283" s="545">
        <f t="shared" si="8"/>
        <v>0</v>
      </c>
      <c r="N283" s="428"/>
      <c r="O283" s="430"/>
      <c r="P283" s="418"/>
    </row>
    <row r="284" spans="1:16" s="419" customFormat="1" x14ac:dyDescent="0.3">
      <c r="A284" s="427"/>
      <c r="B284" s="469" t="s">
        <v>233</v>
      </c>
      <c r="C284" s="428"/>
      <c r="D284" s="546"/>
      <c r="E284" s="546"/>
      <c r="F284" s="546"/>
      <c r="G284" s="546"/>
      <c r="H284" s="546"/>
      <c r="I284" s="546"/>
      <c r="J284" s="469">
        <v>0</v>
      </c>
      <c r="K284" s="545">
        <f t="shared" si="7"/>
        <v>0</v>
      </c>
      <c r="L284" s="470">
        <v>0</v>
      </c>
      <c r="M284" s="545">
        <f t="shared" si="8"/>
        <v>0</v>
      </c>
      <c r="N284" s="428"/>
      <c r="O284" s="430"/>
      <c r="P284" s="418"/>
    </row>
    <row r="285" spans="1:16" s="419" customFormat="1" x14ac:dyDescent="0.3">
      <c r="A285" s="427"/>
      <c r="B285" s="469"/>
      <c r="C285" s="428"/>
      <c r="D285" s="546"/>
      <c r="E285" s="546"/>
      <c r="F285" s="546"/>
      <c r="G285" s="546"/>
      <c r="H285" s="546"/>
      <c r="I285" s="546"/>
      <c r="J285" s="469"/>
      <c r="K285" s="545"/>
      <c r="L285" s="470"/>
      <c r="M285" s="545"/>
      <c r="N285" s="428"/>
      <c r="O285" s="430"/>
      <c r="P285" s="418"/>
    </row>
    <row r="286" spans="1:16" s="419" customFormat="1" x14ac:dyDescent="0.3">
      <c r="A286" s="427"/>
      <c r="B286" s="428" t="s">
        <v>114</v>
      </c>
      <c r="C286" s="428"/>
      <c r="D286" s="546"/>
      <c r="E286" s="546"/>
      <c r="F286" s="546"/>
      <c r="G286" s="546"/>
      <c r="H286" s="546"/>
      <c r="I286" s="546"/>
      <c r="J286" s="469">
        <f>SUM(J272:J284)</f>
        <v>1</v>
      </c>
      <c r="K286" s="545">
        <f>SUM(K272:K284)</f>
        <v>1</v>
      </c>
      <c r="L286" s="470">
        <f>SUM(L272:L284)</f>
        <v>93</v>
      </c>
      <c r="M286" s="545">
        <f>SUM(M272:M284)</f>
        <v>1</v>
      </c>
      <c r="N286" s="428"/>
      <c r="O286" s="430"/>
      <c r="P286" s="418"/>
    </row>
    <row r="287" spans="1:16" s="419" customFormat="1" x14ac:dyDescent="0.3">
      <c r="A287" s="427"/>
      <c r="B287" s="428"/>
      <c r="C287" s="428"/>
      <c r="D287" s="546"/>
      <c r="E287" s="546"/>
      <c r="F287" s="546"/>
      <c r="G287" s="546"/>
      <c r="H287" s="546"/>
      <c r="I287" s="546"/>
      <c r="J287" s="469"/>
      <c r="K287" s="545"/>
      <c r="L287" s="470"/>
      <c r="M287" s="545"/>
      <c r="N287" s="428"/>
      <c r="O287" s="430"/>
      <c r="P287" s="418"/>
    </row>
    <row r="288" spans="1:16" s="419" customFormat="1" x14ac:dyDescent="0.3">
      <c r="A288" s="427"/>
      <c r="B288" s="433" t="s">
        <v>151</v>
      </c>
      <c r="C288" s="428"/>
      <c r="D288" s="546"/>
      <c r="E288" s="546"/>
      <c r="F288" s="546"/>
      <c r="G288" s="546"/>
      <c r="H288" s="546"/>
      <c r="I288" s="546"/>
      <c r="J288" s="551">
        <f>J286+J269+J252</f>
        <v>404</v>
      </c>
      <c r="K288" s="545"/>
      <c r="L288" s="552">
        <f>+L286+L269+L252</f>
        <v>14842</v>
      </c>
      <c r="M288" s="545"/>
      <c r="N288" s="428"/>
      <c r="O288" s="430"/>
      <c r="P288" s="418"/>
    </row>
    <row r="289" spans="1:16" s="419" customFormat="1" x14ac:dyDescent="0.3">
      <c r="A289" s="415"/>
      <c r="B289" s="458"/>
      <c r="C289" s="458"/>
      <c r="D289" s="553"/>
      <c r="E289" s="553"/>
      <c r="F289" s="553"/>
      <c r="G289" s="553"/>
      <c r="H289" s="553"/>
      <c r="I289" s="553"/>
      <c r="J289" s="553"/>
      <c r="K289" s="553"/>
      <c r="L289" s="554"/>
      <c r="M289" s="553"/>
      <c r="N289" s="458"/>
      <c r="O289" s="458"/>
      <c r="P289" s="418"/>
    </row>
    <row r="290" spans="1:16" s="419" customFormat="1" x14ac:dyDescent="0.3">
      <c r="A290" s="415"/>
      <c r="B290" s="416"/>
      <c r="C290" s="416"/>
      <c r="D290" s="555"/>
      <c r="E290" s="555"/>
      <c r="F290" s="555"/>
      <c r="G290" s="555"/>
      <c r="H290" s="555"/>
      <c r="I290" s="555"/>
      <c r="J290" s="555"/>
      <c r="K290" s="555"/>
      <c r="L290" s="556"/>
      <c r="M290" s="555"/>
      <c r="N290" s="416"/>
      <c r="O290" s="416"/>
      <c r="P290" s="418"/>
    </row>
    <row r="291" spans="1:16" s="419" customFormat="1" x14ac:dyDescent="0.3">
      <c r="A291" s="415"/>
      <c r="B291" s="414" t="s">
        <v>88</v>
      </c>
      <c r="C291" s="416"/>
      <c r="D291" s="422" t="s">
        <v>94</v>
      </c>
      <c r="E291" s="416"/>
      <c r="F291" s="414" t="s">
        <v>96</v>
      </c>
      <c r="G291" s="416"/>
      <c r="H291" s="416"/>
      <c r="I291" s="416"/>
      <c r="J291" s="422"/>
      <c r="K291" s="416"/>
      <c r="L291" s="414"/>
      <c r="M291" s="416"/>
      <c r="N291" s="416"/>
      <c r="O291" s="416"/>
      <c r="P291" s="418"/>
    </row>
    <row r="292" spans="1:16" s="419" customFormat="1" x14ac:dyDescent="0.3">
      <c r="A292" s="415"/>
      <c r="B292" s="416"/>
      <c r="C292" s="416"/>
      <c r="D292" s="416"/>
      <c r="E292" s="416"/>
      <c r="F292" s="416"/>
      <c r="G292" s="416"/>
      <c r="H292" s="416"/>
      <c r="I292" s="416"/>
      <c r="J292" s="416"/>
      <c r="K292" s="416"/>
      <c r="L292" s="416"/>
      <c r="M292" s="416"/>
      <c r="N292" s="416"/>
      <c r="O292" s="416"/>
      <c r="P292" s="418"/>
    </row>
    <row r="293" spans="1:16" s="419" customFormat="1" x14ac:dyDescent="0.3">
      <c r="A293" s="557"/>
      <c r="B293" s="414" t="s">
        <v>273</v>
      </c>
      <c r="C293" s="414"/>
      <c r="D293" s="558" t="s">
        <v>240</v>
      </c>
      <c r="E293" s="558"/>
      <c r="F293" s="623" t="s">
        <v>295</v>
      </c>
      <c r="G293" s="414"/>
      <c r="H293" s="416"/>
      <c r="I293" s="416"/>
      <c r="J293" s="558"/>
      <c r="K293" s="414"/>
      <c r="L293" s="414"/>
      <c r="M293" s="416"/>
      <c r="N293" s="416"/>
      <c r="O293" s="416"/>
      <c r="P293" s="418"/>
    </row>
    <row r="294" spans="1:16" s="419" customFormat="1" x14ac:dyDescent="0.3">
      <c r="A294" s="415"/>
      <c r="B294" s="414" t="s">
        <v>274</v>
      </c>
      <c r="C294" s="414"/>
      <c r="D294" s="558" t="s">
        <v>137</v>
      </c>
      <c r="E294" s="414"/>
      <c r="F294" s="623" t="s">
        <v>296</v>
      </c>
      <c r="G294" s="416"/>
      <c r="H294" s="416"/>
      <c r="I294" s="416"/>
      <c r="J294" s="558"/>
      <c r="K294" s="414"/>
      <c r="L294" s="414"/>
      <c r="M294" s="416"/>
      <c r="N294" s="416"/>
      <c r="O294" s="416"/>
      <c r="P294" s="418"/>
    </row>
    <row r="295" spans="1:16" s="419" customFormat="1" x14ac:dyDescent="0.3">
      <c r="A295" s="415"/>
      <c r="B295" s="414"/>
      <c r="C295" s="414"/>
      <c r="D295" s="416"/>
      <c r="E295" s="416"/>
      <c r="F295" s="416"/>
      <c r="G295" s="416"/>
      <c r="H295" s="416"/>
      <c r="I295" s="416"/>
      <c r="J295" s="416"/>
      <c r="K295" s="416"/>
      <c r="L295" s="416"/>
      <c r="M295" s="416"/>
      <c r="N295" s="416"/>
      <c r="O295" s="416"/>
      <c r="P295" s="418"/>
    </row>
    <row r="296" spans="1:16" s="419" customFormat="1" x14ac:dyDescent="0.3">
      <c r="A296" s="415"/>
      <c r="B296" s="414"/>
      <c r="C296" s="414"/>
      <c r="D296" s="416"/>
      <c r="E296" s="416"/>
      <c r="F296" s="416"/>
      <c r="G296" s="416"/>
      <c r="H296" s="416"/>
      <c r="I296" s="416"/>
      <c r="J296" s="416"/>
      <c r="K296" s="416"/>
      <c r="L296" s="416"/>
      <c r="M296" s="416"/>
      <c r="N296" s="416"/>
      <c r="O296" s="416"/>
      <c r="P296" s="418"/>
    </row>
    <row r="297" spans="1:16" s="419" customFormat="1" ht="18.600000000000001" thickBot="1" x14ac:dyDescent="0.4">
      <c r="A297" s="415"/>
      <c r="B297" s="559" t="str">
        <f>B182</f>
        <v>FF7 INVESTOR REPORT QUARTER ENDING NOVEMBER 2017</v>
      </c>
      <c r="C297" s="414"/>
      <c r="D297" s="416"/>
      <c r="E297" s="416"/>
      <c r="F297" s="416"/>
      <c r="G297" s="416"/>
      <c r="H297" s="416"/>
      <c r="I297" s="416"/>
      <c r="J297" s="416"/>
      <c r="K297" s="416"/>
      <c r="L297" s="416"/>
      <c r="M297" s="416"/>
      <c r="N297" s="416"/>
      <c r="O297" s="416"/>
      <c r="P297" s="418"/>
    </row>
    <row r="298" spans="1:16" x14ac:dyDescent="0.3">
      <c r="A298" s="560"/>
      <c r="B298" s="560"/>
      <c r="C298" s="560"/>
      <c r="D298" s="560"/>
      <c r="E298" s="560"/>
      <c r="F298" s="560"/>
      <c r="G298" s="560"/>
      <c r="H298" s="560"/>
      <c r="I298" s="560"/>
      <c r="J298" s="560"/>
      <c r="K298" s="560"/>
      <c r="L298" s="560"/>
      <c r="M298" s="560"/>
      <c r="N298" s="560"/>
      <c r="O298" s="560"/>
    </row>
  </sheetData>
  <hyperlinks>
    <hyperlink ref="K9" r:id="rId1"/>
    <hyperlink ref="K218" r:id="rId2"/>
  </hyperlinks>
  <printOptions horizontalCentered="1" verticalCentered="1"/>
  <pageMargins left="0.19685039370078741" right="0.19685039370078741" top="0.27559055118110237" bottom="0.27559055118110237" header="0" footer="0"/>
  <pageSetup scale="53" orientation="landscape" r:id="rId3"/>
  <headerFooter alignWithMargins="0"/>
  <rowBreaks count="3" manualBreakCount="3">
    <brk id="52" max="14" man="1"/>
    <brk id="115" max="14" man="1"/>
    <brk id="182" max="14" man="1"/>
  </rowBreaks>
  <colBreaks count="1" manualBreakCount="1">
    <brk id="15" max="298" man="1"/>
  </col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298"/>
  <sheetViews>
    <sheetView showGridLines="0" showOutlineSymbols="0" zoomScale="80" zoomScaleNormal="80" workbookViewId="0"/>
  </sheetViews>
  <sheetFormatPr defaultColWidth="9.6328125" defaultRowHeight="15.6" x14ac:dyDescent="0.3"/>
  <cols>
    <col min="1" max="1" width="4" style="403" customWidth="1"/>
    <col min="2" max="2" width="75.1796875" style="403" customWidth="1"/>
    <col min="3" max="3" width="2.1796875" style="403" customWidth="1"/>
    <col min="4" max="4" width="17.90625" style="403" customWidth="1"/>
    <col min="5" max="5" width="2.36328125" style="403" customWidth="1"/>
    <col min="6" max="6" width="13.08984375" style="403" customWidth="1"/>
    <col min="7" max="7" width="2.36328125" style="403" customWidth="1"/>
    <col min="8" max="8" width="15.54296875" style="403" customWidth="1"/>
    <col min="9" max="9" width="2.1796875" style="403" customWidth="1"/>
    <col min="10" max="10" width="15.54296875" style="403" customWidth="1"/>
    <col min="11" max="12" width="12.6328125" style="403" customWidth="1"/>
    <col min="13" max="13" width="7.81640625" style="403" customWidth="1"/>
    <col min="14" max="14" width="14.6328125" style="403" customWidth="1"/>
    <col min="15" max="15" width="11.81640625" style="403" customWidth="1"/>
    <col min="16" max="16384" width="9.6328125" style="403"/>
  </cols>
  <sheetData>
    <row r="1" spans="1:16" ht="21" x14ac:dyDescent="0.4">
      <c r="A1" s="399"/>
      <c r="B1" s="400" t="s">
        <v>184</v>
      </c>
      <c r="C1" s="401"/>
      <c r="D1" s="401"/>
      <c r="E1" s="401"/>
      <c r="F1" s="401"/>
      <c r="G1" s="401"/>
      <c r="H1" s="401"/>
      <c r="I1" s="401"/>
      <c r="J1" s="401"/>
      <c r="K1" s="401"/>
      <c r="L1" s="401"/>
      <c r="M1" s="401"/>
      <c r="N1" s="401"/>
      <c r="O1" s="401"/>
      <c r="P1" s="402"/>
    </row>
    <row r="2" spans="1:16" x14ac:dyDescent="0.3">
      <c r="A2" s="404"/>
      <c r="B2" s="405"/>
      <c r="C2" s="406"/>
      <c r="D2" s="406"/>
      <c r="E2" s="406"/>
      <c r="F2" s="406"/>
      <c r="G2" s="406"/>
      <c r="H2" s="406"/>
      <c r="I2" s="406"/>
      <c r="J2" s="406"/>
      <c r="K2" s="406"/>
      <c r="L2" s="406"/>
      <c r="M2" s="406"/>
      <c r="N2" s="406"/>
      <c r="O2" s="406"/>
      <c r="P2" s="402"/>
    </row>
    <row r="3" spans="1:16" x14ac:dyDescent="0.3">
      <c r="A3" s="407"/>
      <c r="B3" s="408" t="s">
        <v>185</v>
      </c>
      <c r="C3" s="406"/>
      <c r="D3" s="406"/>
      <c r="E3" s="406"/>
      <c r="F3" s="406"/>
      <c r="G3" s="406"/>
      <c r="H3" s="406"/>
      <c r="I3" s="406"/>
      <c r="J3" s="406"/>
      <c r="K3" s="406"/>
      <c r="L3" s="406"/>
      <c r="M3" s="406"/>
      <c r="N3" s="406"/>
      <c r="O3" s="406"/>
      <c r="P3" s="402"/>
    </row>
    <row r="4" spans="1:16" x14ac:dyDescent="0.3">
      <c r="A4" s="404"/>
      <c r="B4" s="405"/>
      <c r="C4" s="406"/>
      <c r="D4" s="406"/>
      <c r="E4" s="406"/>
      <c r="F4" s="406"/>
      <c r="G4" s="406"/>
      <c r="H4" s="406"/>
      <c r="I4" s="406"/>
      <c r="J4" s="406"/>
      <c r="K4" s="406"/>
      <c r="L4" s="406"/>
      <c r="M4" s="406"/>
      <c r="N4" s="406"/>
      <c r="O4" s="406"/>
      <c r="P4" s="402"/>
    </row>
    <row r="5" spans="1:16" x14ac:dyDescent="0.3">
      <c r="A5" s="404"/>
      <c r="B5" s="409" t="s">
        <v>243</v>
      </c>
      <c r="C5" s="406"/>
      <c r="D5" s="406"/>
      <c r="E5" s="406"/>
      <c r="F5" s="406"/>
      <c r="G5" s="406"/>
      <c r="H5" s="406"/>
      <c r="I5" s="406"/>
      <c r="J5" s="406"/>
      <c r="K5" s="406"/>
      <c r="L5" s="406"/>
      <c r="M5" s="406"/>
      <c r="N5" s="406"/>
      <c r="O5" s="406"/>
      <c r="P5" s="402"/>
    </row>
    <row r="6" spans="1:16" x14ac:dyDescent="0.3">
      <c r="A6" s="404"/>
      <c r="B6" s="409" t="s">
        <v>187</v>
      </c>
      <c r="C6" s="406"/>
      <c r="D6" s="406"/>
      <c r="E6" s="406"/>
      <c r="F6" s="406"/>
      <c r="G6" s="406"/>
      <c r="H6" s="406"/>
      <c r="I6" s="406"/>
      <c r="J6" s="406"/>
      <c r="K6" s="406"/>
      <c r="L6" s="406"/>
      <c r="M6" s="406"/>
      <c r="N6" s="406"/>
      <c r="O6" s="406"/>
      <c r="P6" s="402"/>
    </row>
    <row r="7" spans="1:16" x14ac:dyDescent="0.3">
      <c r="A7" s="404"/>
      <c r="B7" s="409" t="s">
        <v>188</v>
      </c>
      <c r="C7" s="406"/>
      <c r="D7" s="406"/>
      <c r="E7" s="406"/>
      <c r="F7" s="406"/>
      <c r="G7" s="406"/>
      <c r="H7" s="406"/>
      <c r="I7" s="406"/>
      <c r="J7" s="406"/>
      <c r="K7" s="406"/>
      <c r="L7" s="406"/>
      <c r="M7" s="406"/>
      <c r="N7" s="406"/>
      <c r="O7" s="406"/>
      <c r="P7" s="402"/>
    </row>
    <row r="8" spans="1:16" x14ac:dyDescent="0.3">
      <c r="A8" s="404"/>
      <c r="B8" s="410"/>
      <c r="C8" s="406"/>
      <c r="D8" s="406"/>
      <c r="E8" s="406"/>
      <c r="F8" s="406"/>
      <c r="G8" s="406"/>
      <c r="H8" s="406"/>
      <c r="I8" s="406"/>
      <c r="J8" s="406"/>
      <c r="K8" s="406"/>
      <c r="L8" s="406"/>
      <c r="M8" s="406"/>
      <c r="N8" s="406"/>
      <c r="O8" s="406"/>
      <c r="P8" s="402"/>
    </row>
    <row r="9" spans="1:16" ht="18" x14ac:dyDescent="0.35">
      <c r="A9" s="404"/>
      <c r="B9" s="411" t="s">
        <v>153</v>
      </c>
      <c r="C9" s="406"/>
      <c r="D9" s="412"/>
      <c r="E9" s="406"/>
      <c r="F9" s="412"/>
      <c r="G9" s="406"/>
      <c r="H9" s="406"/>
      <c r="I9" s="406"/>
      <c r="J9" s="406"/>
      <c r="K9" s="398" t="s">
        <v>293</v>
      </c>
      <c r="L9" s="406"/>
      <c r="M9" s="406"/>
      <c r="N9" s="406"/>
      <c r="O9" s="406"/>
      <c r="P9" s="402"/>
    </row>
    <row r="10" spans="1:16" x14ac:dyDescent="0.3">
      <c r="A10" s="404"/>
      <c r="B10" s="410"/>
      <c r="C10" s="413"/>
      <c r="D10" s="406"/>
      <c r="E10" s="406"/>
      <c r="F10" s="406"/>
      <c r="G10" s="406"/>
      <c r="H10" s="406"/>
      <c r="I10" s="406"/>
      <c r="J10" s="406"/>
      <c r="K10" s="406"/>
      <c r="L10" s="406"/>
      <c r="M10" s="406"/>
      <c r="N10" s="406"/>
      <c r="O10" s="406"/>
      <c r="P10" s="402"/>
    </row>
    <row r="11" spans="1:16" x14ac:dyDescent="0.3">
      <c r="A11" s="404"/>
      <c r="B11" s="414" t="s">
        <v>0</v>
      </c>
      <c r="C11" s="406"/>
      <c r="D11" s="406"/>
      <c r="E11" s="406"/>
      <c r="F11" s="406"/>
      <c r="G11" s="406"/>
      <c r="H11" s="406"/>
      <c r="I11" s="406"/>
      <c r="J11" s="406"/>
      <c r="K11" s="406"/>
      <c r="L11" s="406"/>
      <c r="M11" s="406"/>
      <c r="N11" s="406"/>
      <c r="O11" s="406"/>
      <c r="P11" s="402"/>
    </row>
    <row r="12" spans="1:16" ht="16.2" thickBot="1" x14ac:dyDescent="0.35">
      <c r="A12" s="404"/>
      <c r="B12" s="413"/>
      <c r="C12" s="406"/>
      <c r="D12" s="406"/>
      <c r="E12" s="406"/>
      <c r="F12" s="406"/>
      <c r="G12" s="406"/>
      <c r="H12" s="406"/>
      <c r="I12" s="406"/>
      <c r="J12" s="406"/>
      <c r="K12" s="406"/>
      <c r="L12" s="406"/>
      <c r="M12" s="406"/>
      <c r="N12" s="406"/>
      <c r="O12" s="406"/>
      <c r="P12" s="402"/>
    </row>
    <row r="13" spans="1:16" x14ac:dyDescent="0.3">
      <c r="A13" s="399"/>
      <c r="B13" s="401"/>
      <c r="C13" s="401"/>
      <c r="D13" s="401"/>
      <c r="E13" s="401"/>
      <c r="F13" s="401"/>
      <c r="G13" s="401"/>
      <c r="H13" s="401"/>
      <c r="I13" s="401"/>
      <c r="J13" s="401"/>
      <c r="K13" s="401"/>
      <c r="L13" s="401"/>
      <c r="M13" s="401"/>
      <c r="N13" s="401"/>
      <c r="O13" s="401"/>
      <c r="P13" s="402"/>
    </row>
    <row r="14" spans="1:16" s="419" customFormat="1" x14ac:dyDescent="0.3">
      <c r="A14" s="415"/>
      <c r="B14" s="414" t="s">
        <v>1</v>
      </c>
      <c r="C14" s="416"/>
      <c r="D14" s="416"/>
      <c r="E14" s="416"/>
      <c r="F14" s="416"/>
      <c r="G14" s="416"/>
      <c r="H14" s="416"/>
      <c r="I14" s="416"/>
      <c r="J14" s="416"/>
      <c r="K14" s="416"/>
      <c r="L14" s="416"/>
      <c r="M14" s="416"/>
      <c r="N14" s="417" t="s">
        <v>186</v>
      </c>
      <c r="O14" s="416"/>
      <c r="P14" s="418"/>
    </row>
    <row r="15" spans="1:16" s="419" customFormat="1" x14ac:dyDescent="0.3">
      <c r="A15" s="415"/>
      <c r="B15" s="414" t="s">
        <v>2</v>
      </c>
      <c r="C15" s="416"/>
      <c r="D15" s="420"/>
      <c r="E15" s="420"/>
      <c r="F15" s="420"/>
      <c r="G15" s="420"/>
      <c r="H15" s="420"/>
      <c r="I15" s="420"/>
      <c r="J15" s="420" t="s">
        <v>101</v>
      </c>
      <c r="K15" s="421">
        <v>4.07E-2</v>
      </c>
      <c r="L15" s="422" t="s">
        <v>133</v>
      </c>
      <c r="M15" s="421">
        <v>0.95930000000000004</v>
      </c>
      <c r="N15" s="417"/>
      <c r="O15" s="416"/>
      <c r="P15" s="418"/>
    </row>
    <row r="16" spans="1:16" s="419" customFormat="1" x14ac:dyDescent="0.3">
      <c r="A16" s="415"/>
      <c r="B16" s="414" t="s">
        <v>3</v>
      </c>
      <c r="C16" s="416"/>
      <c r="D16" s="420"/>
      <c r="E16" s="420"/>
      <c r="F16" s="420"/>
      <c r="G16" s="420"/>
      <c r="H16" s="420"/>
      <c r="I16" s="420"/>
      <c r="J16" s="420" t="s">
        <v>101</v>
      </c>
      <c r="K16" s="421">
        <v>0.19025747172745477</v>
      </c>
      <c r="L16" s="422" t="s">
        <v>133</v>
      </c>
      <c r="M16" s="421">
        <v>0.80974252827254523</v>
      </c>
      <c r="N16" s="417"/>
      <c r="O16" s="416"/>
      <c r="P16" s="418"/>
    </row>
    <row r="17" spans="1:16" s="419" customFormat="1" x14ac:dyDescent="0.3">
      <c r="A17" s="415"/>
      <c r="B17" s="414" t="s">
        <v>4</v>
      </c>
      <c r="C17" s="416"/>
      <c r="D17" s="416"/>
      <c r="E17" s="416"/>
      <c r="F17" s="416"/>
      <c r="G17" s="416"/>
      <c r="H17" s="416"/>
      <c r="I17" s="416"/>
      <c r="J17" s="416"/>
      <c r="K17" s="416"/>
      <c r="L17" s="416"/>
      <c r="M17" s="416"/>
      <c r="N17" s="423">
        <v>39107</v>
      </c>
      <c r="O17" s="416"/>
      <c r="P17" s="418"/>
    </row>
    <row r="18" spans="1:16" s="419" customFormat="1" x14ac:dyDescent="0.3">
      <c r="A18" s="415"/>
      <c r="B18" s="414" t="s">
        <v>5</v>
      </c>
      <c r="C18" s="416"/>
      <c r="D18" s="416"/>
      <c r="E18" s="416"/>
      <c r="F18" s="416"/>
      <c r="G18" s="416"/>
      <c r="H18" s="416"/>
      <c r="I18" s="416"/>
      <c r="J18" s="416"/>
      <c r="K18" s="416"/>
      <c r="L18" s="416"/>
      <c r="M18" s="416"/>
      <c r="N18" s="423">
        <v>43179</v>
      </c>
      <c r="O18" s="416"/>
      <c r="P18" s="418"/>
    </row>
    <row r="19" spans="1:16" s="419" customFormat="1" x14ac:dyDescent="0.3">
      <c r="A19" s="415"/>
      <c r="B19" s="416"/>
      <c r="C19" s="416"/>
      <c r="D19" s="416"/>
      <c r="E19" s="416"/>
      <c r="F19" s="416"/>
      <c r="G19" s="416"/>
      <c r="H19" s="416"/>
      <c r="I19" s="416"/>
      <c r="J19" s="416"/>
      <c r="K19" s="416"/>
      <c r="L19" s="416"/>
      <c r="M19" s="416"/>
      <c r="N19" s="424"/>
      <c r="O19" s="416"/>
      <c r="P19" s="418"/>
    </row>
    <row r="20" spans="1:16" s="419" customFormat="1" x14ac:dyDescent="0.3">
      <c r="A20" s="415"/>
      <c r="B20" s="425" t="s">
        <v>6</v>
      </c>
      <c r="C20" s="416"/>
      <c r="D20" s="416"/>
      <c r="E20" s="416"/>
      <c r="F20" s="416"/>
      <c r="G20" s="416"/>
      <c r="H20" s="416"/>
      <c r="I20" s="416"/>
      <c r="J20" s="416"/>
      <c r="K20" s="416"/>
      <c r="L20" s="424" t="s">
        <v>102</v>
      </c>
      <c r="M20" s="416"/>
      <c r="N20" s="416"/>
      <c r="O20" s="416"/>
      <c r="P20" s="418"/>
    </row>
    <row r="21" spans="1:16" x14ac:dyDescent="0.3">
      <c r="A21" s="404"/>
      <c r="B21" s="406"/>
      <c r="C21" s="406"/>
      <c r="D21" s="406"/>
      <c r="E21" s="406"/>
      <c r="F21" s="406"/>
      <c r="G21" s="406"/>
      <c r="H21" s="406"/>
      <c r="I21" s="406"/>
      <c r="J21" s="406"/>
      <c r="K21" s="406"/>
      <c r="L21" s="406"/>
      <c r="M21" s="406"/>
      <c r="N21" s="426"/>
      <c r="O21" s="406"/>
      <c r="P21" s="402"/>
    </row>
    <row r="22" spans="1:16" x14ac:dyDescent="0.3">
      <c r="A22" s="585"/>
      <c r="B22" s="591"/>
      <c r="C22" s="592"/>
      <c r="D22" s="592" t="s">
        <v>103</v>
      </c>
      <c r="E22" s="592"/>
      <c r="F22" s="592" t="s">
        <v>189</v>
      </c>
      <c r="G22" s="592"/>
      <c r="H22" s="592" t="s">
        <v>190</v>
      </c>
      <c r="I22" s="592"/>
      <c r="J22" s="592"/>
      <c r="K22" s="593"/>
      <c r="L22" s="593"/>
      <c r="M22" s="591"/>
      <c r="N22" s="591"/>
      <c r="O22" s="594"/>
      <c r="P22" s="402"/>
    </row>
    <row r="23" spans="1:16" s="419" customFormat="1" x14ac:dyDescent="0.3">
      <c r="A23" s="587"/>
      <c r="B23" s="588" t="s">
        <v>7</v>
      </c>
      <c r="C23" s="589"/>
      <c r="D23" s="589" t="s">
        <v>134</v>
      </c>
      <c r="E23" s="589"/>
      <c r="F23" s="589" t="s">
        <v>152</v>
      </c>
      <c r="G23" s="589"/>
      <c r="H23" s="589" t="s">
        <v>135</v>
      </c>
      <c r="I23" s="589"/>
      <c r="J23" s="589"/>
      <c r="K23" s="589"/>
      <c r="L23" s="589"/>
      <c r="M23" s="588"/>
      <c r="N23" s="588"/>
      <c r="O23" s="590"/>
      <c r="P23" s="418"/>
    </row>
    <row r="24" spans="1:16" s="419" customFormat="1" x14ac:dyDescent="0.3">
      <c r="A24" s="431"/>
      <c r="B24" s="428" t="s">
        <v>162</v>
      </c>
      <c r="C24" s="432"/>
      <c r="D24" s="429" t="s">
        <v>134</v>
      </c>
      <c r="E24" s="429"/>
      <c r="F24" s="429" t="s">
        <v>152</v>
      </c>
      <c r="G24" s="429"/>
      <c r="H24" s="429" t="s">
        <v>135</v>
      </c>
      <c r="I24" s="429"/>
      <c r="J24" s="429"/>
      <c r="K24" s="432"/>
      <c r="L24" s="429"/>
      <c r="M24" s="428"/>
      <c r="N24" s="428"/>
      <c r="O24" s="430"/>
      <c r="P24" s="418"/>
    </row>
    <row r="25" spans="1:16" s="419" customFormat="1" x14ac:dyDescent="0.3">
      <c r="A25" s="427"/>
      <c r="B25" s="433" t="s">
        <v>163</v>
      </c>
      <c r="C25" s="429"/>
      <c r="D25" s="432" t="s">
        <v>134</v>
      </c>
      <c r="E25" s="432"/>
      <c r="F25" s="432" t="s">
        <v>267</v>
      </c>
      <c r="G25" s="432"/>
      <c r="H25" s="432" t="s">
        <v>267</v>
      </c>
      <c r="I25" s="432"/>
      <c r="J25" s="432"/>
      <c r="K25" s="429"/>
      <c r="L25" s="434"/>
      <c r="M25" s="428"/>
      <c r="N25" s="428"/>
      <c r="O25" s="430"/>
      <c r="P25" s="418"/>
    </row>
    <row r="26" spans="1:16" s="419" customFormat="1" x14ac:dyDescent="0.3">
      <c r="A26" s="427"/>
      <c r="B26" s="433" t="s">
        <v>164</v>
      </c>
      <c r="C26" s="429"/>
      <c r="D26" s="432" t="s">
        <v>134</v>
      </c>
      <c r="E26" s="432"/>
      <c r="F26" s="432" t="s">
        <v>152</v>
      </c>
      <c r="G26" s="432"/>
      <c r="H26" s="432" t="s">
        <v>135</v>
      </c>
      <c r="I26" s="432"/>
      <c r="J26" s="432"/>
      <c r="K26" s="429"/>
      <c r="L26" s="434"/>
      <c r="M26" s="428"/>
      <c r="N26" s="428"/>
      <c r="O26" s="430"/>
      <c r="P26" s="418"/>
    </row>
    <row r="27" spans="1:16" s="419" customFormat="1" x14ac:dyDescent="0.3">
      <c r="A27" s="427"/>
      <c r="B27" s="428" t="s">
        <v>8</v>
      </c>
      <c r="C27" s="435"/>
      <c r="D27" s="429" t="s">
        <v>218</v>
      </c>
      <c r="E27" s="429"/>
      <c r="F27" s="429" t="s">
        <v>219</v>
      </c>
      <c r="G27" s="429"/>
      <c r="H27" s="429" t="s">
        <v>220</v>
      </c>
      <c r="I27" s="429"/>
      <c r="J27" s="429"/>
      <c r="K27" s="436"/>
      <c r="L27" s="436"/>
      <c r="M27" s="435"/>
      <c r="N27" s="436"/>
      <c r="O27" s="437"/>
      <c r="P27" s="418"/>
    </row>
    <row r="28" spans="1:16" s="419" customFormat="1" x14ac:dyDescent="0.3">
      <c r="A28" s="431"/>
      <c r="B28" s="428" t="s">
        <v>129</v>
      </c>
      <c r="C28" s="438"/>
      <c r="D28" s="436">
        <v>260500</v>
      </c>
      <c r="E28" s="436"/>
      <c r="F28" s="436">
        <v>4050</v>
      </c>
      <c r="G28" s="436"/>
      <c r="H28" s="436">
        <v>4050</v>
      </c>
      <c r="I28" s="436"/>
      <c r="J28" s="439"/>
      <c r="K28" s="440"/>
      <c r="L28" s="440"/>
      <c r="M28" s="438"/>
      <c r="N28" s="436">
        <f>SUM(D28:H28)</f>
        <v>268600</v>
      </c>
      <c r="O28" s="437"/>
      <c r="P28" s="418"/>
    </row>
    <row r="29" spans="1:16" s="419" customFormat="1" x14ac:dyDescent="0.3">
      <c r="A29" s="427"/>
      <c r="B29" s="428" t="s">
        <v>128</v>
      </c>
      <c r="C29" s="435"/>
      <c r="D29" s="436">
        <f>D28*D32</f>
        <v>11644.662600000001</v>
      </c>
      <c r="E29" s="436"/>
      <c r="F29" s="436">
        <f>F28*F32</f>
        <v>1598.20047</v>
      </c>
      <c r="G29" s="436"/>
      <c r="H29" s="436">
        <f>H28*H32</f>
        <v>1598.20047</v>
      </c>
      <c r="I29" s="436"/>
      <c r="J29" s="439"/>
      <c r="K29" s="436"/>
      <c r="L29" s="436"/>
      <c r="M29" s="435"/>
      <c r="N29" s="436">
        <f>SUM(D29:H29)+1</f>
        <v>14842.063540000001</v>
      </c>
      <c r="O29" s="437"/>
      <c r="P29" s="418"/>
    </row>
    <row r="30" spans="1:16" s="419" customFormat="1" x14ac:dyDescent="0.3">
      <c r="A30" s="427"/>
      <c r="B30" s="433" t="s">
        <v>130</v>
      </c>
      <c r="C30" s="435"/>
      <c r="D30" s="440">
        <f>D28*D31</f>
        <v>10587.762000000001</v>
      </c>
      <c r="E30" s="440"/>
      <c r="F30" s="440">
        <f>F28*F31</f>
        <v>1598.20047</v>
      </c>
      <c r="G30" s="440"/>
      <c r="H30" s="440">
        <f>H28*H31</f>
        <v>1598.20047</v>
      </c>
      <c r="I30" s="440"/>
      <c r="J30" s="441"/>
      <c r="K30" s="436"/>
      <c r="L30" s="436"/>
      <c r="M30" s="435"/>
      <c r="N30" s="440">
        <f>SUM(D30:I30)+1</f>
        <v>13785.16294</v>
      </c>
      <c r="O30" s="437"/>
      <c r="P30" s="418"/>
    </row>
    <row r="31" spans="1:16" s="569" customFormat="1" x14ac:dyDescent="0.3">
      <c r="A31" s="561"/>
      <c r="B31" s="562" t="s">
        <v>126</v>
      </c>
      <c r="C31" s="563"/>
      <c r="D31" s="564">
        <v>4.0644E-2</v>
      </c>
      <c r="E31" s="564"/>
      <c r="F31" s="564">
        <v>0.39461740000000001</v>
      </c>
      <c r="G31" s="564"/>
      <c r="H31" s="564">
        <v>0.39461740000000001</v>
      </c>
      <c r="I31" s="565"/>
      <c r="J31" s="565"/>
      <c r="K31" s="566"/>
      <c r="L31" s="566"/>
      <c r="M31" s="563"/>
      <c r="N31" s="563"/>
      <c r="O31" s="567"/>
      <c r="P31" s="568"/>
    </row>
    <row r="32" spans="1:16" s="569" customFormat="1" x14ac:dyDescent="0.3">
      <c r="A32" s="561"/>
      <c r="B32" s="562" t="s">
        <v>127</v>
      </c>
      <c r="C32" s="563"/>
      <c r="D32" s="564">
        <v>4.4701200000000003E-2</v>
      </c>
      <c r="E32" s="564"/>
      <c r="F32" s="564">
        <v>0.39461740000000001</v>
      </c>
      <c r="G32" s="564"/>
      <c r="H32" s="564">
        <v>0.39461740000000001</v>
      </c>
      <c r="I32" s="565"/>
      <c r="J32" s="565"/>
      <c r="K32" s="570"/>
      <c r="L32" s="571"/>
      <c r="M32" s="563"/>
      <c r="N32" s="570"/>
      <c r="O32" s="567"/>
      <c r="P32" s="568"/>
    </row>
    <row r="33" spans="1:17" s="419" customFormat="1" x14ac:dyDescent="0.3">
      <c r="A33" s="427"/>
      <c r="B33" s="428" t="s">
        <v>9</v>
      </c>
      <c r="C33" s="428"/>
      <c r="D33" s="434" t="s">
        <v>193</v>
      </c>
      <c r="E33" s="434"/>
      <c r="F33" s="434" t="s">
        <v>195</v>
      </c>
      <c r="G33" s="434"/>
      <c r="H33" s="434" t="s">
        <v>197</v>
      </c>
      <c r="I33" s="434"/>
      <c r="J33" s="434"/>
      <c r="K33" s="446"/>
      <c r="L33" s="447"/>
      <c r="M33" s="428"/>
      <c r="N33" s="428"/>
      <c r="O33" s="430"/>
      <c r="P33" s="418"/>
    </row>
    <row r="34" spans="1:17" s="419" customFormat="1" x14ac:dyDescent="0.3">
      <c r="A34" s="427"/>
      <c r="B34" s="428" t="s">
        <v>10</v>
      </c>
      <c r="C34" s="428"/>
      <c r="D34" s="447">
        <v>7.5618999999999999E-3</v>
      </c>
      <c r="E34" s="446"/>
      <c r="F34" s="447">
        <v>8.7618999999999995E-3</v>
      </c>
      <c r="G34" s="446"/>
      <c r="H34" s="447">
        <v>1.07619E-2</v>
      </c>
      <c r="I34" s="446"/>
      <c r="J34" s="447"/>
      <c r="K34" s="446"/>
      <c r="L34" s="447"/>
      <c r="M34" s="428"/>
      <c r="N34" s="446">
        <f>SUMPRODUCT(D34:H34,D29:H29)/N29</f>
        <v>8.0351846041972954E-3</v>
      </c>
      <c r="O34" s="430"/>
      <c r="P34" s="418"/>
    </row>
    <row r="35" spans="1:17" s="419" customFormat="1" x14ac:dyDescent="0.3">
      <c r="A35" s="427"/>
      <c r="B35" s="428" t="s">
        <v>11</v>
      </c>
      <c r="C35" s="428"/>
      <c r="D35" s="447">
        <v>5.6687999999999999E-3</v>
      </c>
      <c r="E35" s="446"/>
      <c r="F35" s="447">
        <v>6.8688000000000004E-3</v>
      </c>
      <c r="G35" s="446"/>
      <c r="H35" s="447">
        <v>8.8687999999999996E-3</v>
      </c>
      <c r="I35" s="447"/>
      <c r="J35" s="447"/>
      <c r="K35" s="446"/>
      <c r="L35" s="447"/>
      <c r="M35" s="428"/>
      <c r="N35" s="446" t="s">
        <v>165</v>
      </c>
      <c r="O35" s="430"/>
      <c r="P35" s="418"/>
    </row>
    <row r="36" spans="1:17" s="419" customFormat="1" x14ac:dyDescent="0.3">
      <c r="A36" s="427"/>
      <c r="B36" s="428" t="s">
        <v>12</v>
      </c>
      <c r="C36" s="428"/>
      <c r="D36" s="448">
        <v>40617</v>
      </c>
      <c r="E36" s="448"/>
      <c r="F36" s="448">
        <v>40617</v>
      </c>
      <c r="G36" s="448"/>
      <c r="H36" s="448">
        <v>40617</v>
      </c>
      <c r="I36" s="448"/>
      <c r="J36" s="448"/>
      <c r="K36" s="434"/>
      <c r="L36" s="434"/>
      <c r="M36" s="428"/>
      <c r="N36" s="428"/>
      <c r="O36" s="430"/>
      <c r="P36" s="418"/>
    </row>
    <row r="37" spans="1:17" s="419" customFormat="1" x14ac:dyDescent="0.3">
      <c r="A37" s="427"/>
      <c r="B37" s="428" t="s">
        <v>13</v>
      </c>
      <c r="C37" s="428"/>
      <c r="D37" s="448">
        <v>40983</v>
      </c>
      <c r="E37" s="434"/>
      <c r="F37" s="448">
        <v>40983</v>
      </c>
      <c r="G37" s="434"/>
      <c r="H37" s="448">
        <v>40983</v>
      </c>
      <c r="I37" s="434"/>
      <c r="J37" s="448"/>
      <c r="K37" s="434"/>
      <c r="L37" s="434"/>
      <c r="M37" s="428"/>
      <c r="N37" s="428"/>
      <c r="O37" s="430"/>
      <c r="P37" s="418"/>
    </row>
    <row r="38" spans="1:17" s="419" customFormat="1" x14ac:dyDescent="0.3">
      <c r="A38" s="427"/>
      <c r="B38" s="428" t="s">
        <v>118</v>
      </c>
      <c r="C38" s="428"/>
      <c r="D38" s="434" t="s">
        <v>193</v>
      </c>
      <c r="E38" s="434"/>
      <c r="F38" s="434" t="s">
        <v>195</v>
      </c>
      <c r="G38" s="434"/>
      <c r="H38" s="434" t="s">
        <v>197</v>
      </c>
      <c r="I38" s="434"/>
      <c r="J38" s="434"/>
      <c r="K38" s="449"/>
      <c r="L38" s="449"/>
      <c r="M38" s="449"/>
      <c r="N38" s="449"/>
      <c r="O38" s="430"/>
      <c r="P38" s="418"/>
    </row>
    <row r="39" spans="1:17" s="419" customFormat="1" x14ac:dyDescent="0.3">
      <c r="A39" s="427"/>
      <c r="B39" s="428"/>
      <c r="C39" s="428"/>
      <c r="D39" s="434"/>
      <c r="E39" s="434"/>
      <c r="F39" s="447"/>
      <c r="G39" s="434"/>
      <c r="H39" s="447"/>
      <c r="I39" s="434"/>
      <c r="J39" s="434"/>
      <c r="K39" s="428"/>
      <c r="L39" s="428"/>
      <c r="M39" s="428"/>
      <c r="N39" s="446" t="s">
        <v>165</v>
      </c>
      <c r="O39" s="430"/>
      <c r="P39" s="418"/>
    </row>
    <row r="40" spans="1:17" s="419" customFormat="1" x14ac:dyDescent="0.3">
      <c r="A40" s="427"/>
      <c r="B40" s="428" t="s">
        <v>156</v>
      </c>
      <c r="C40" s="428"/>
      <c r="D40" s="434"/>
      <c r="E40" s="434"/>
      <c r="F40" s="434"/>
      <c r="G40" s="434"/>
      <c r="H40" s="434"/>
      <c r="I40" s="434"/>
      <c r="J40" s="434"/>
      <c r="K40" s="428"/>
      <c r="L40" s="428"/>
      <c r="M40" s="428"/>
      <c r="N40" s="446">
        <f>SUM(F28:H28)/SUM(D28)</f>
        <v>3.109404990403071E-2</v>
      </c>
      <c r="O40" s="430"/>
      <c r="P40" s="418"/>
    </row>
    <row r="41" spans="1:17" s="419" customFormat="1" x14ac:dyDescent="0.3">
      <c r="A41" s="427"/>
      <c r="B41" s="428" t="s">
        <v>157</v>
      </c>
      <c r="C41" s="428"/>
      <c r="D41" s="428"/>
      <c r="E41" s="428"/>
      <c r="F41" s="428"/>
      <c r="G41" s="428"/>
      <c r="H41" s="428"/>
      <c r="I41" s="428"/>
      <c r="J41" s="428"/>
      <c r="K41" s="428"/>
      <c r="L41" s="428"/>
      <c r="M41" s="428"/>
      <c r="N41" s="446">
        <f>SUM(F30:H30)/SUM(D30)</f>
        <v>0.30189580574251668</v>
      </c>
      <c r="O41" s="430"/>
      <c r="P41" s="418"/>
    </row>
    <row r="42" spans="1:17" s="419" customFormat="1" x14ac:dyDescent="0.3">
      <c r="A42" s="427"/>
      <c r="B42" s="428" t="s">
        <v>158</v>
      </c>
      <c r="C42" s="428"/>
      <c r="D42" s="428"/>
      <c r="E42" s="428"/>
      <c r="F42" s="428"/>
      <c r="G42" s="428"/>
      <c r="H42" s="428"/>
      <c r="I42" s="428"/>
      <c r="J42" s="428"/>
      <c r="K42" s="428"/>
      <c r="L42" s="434" t="s">
        <v>103</v>
      </c>
      <c r="M42" s="434" t="s">
        <v>109</v>
      </c>
      <c r="N42" s="436">
        <f>+N28/2-SUM(F28:H28)</f>
        <v>126200</v>
      </c>
      <c r="O42" s="430"/>
      <c r="P42" s="418"/>
    </row>
    <row r="43" spans="1:17" s="419" customFormat="1" x14ac:dyDescent="0.3">
      <c r="A43" s="427"/>
      <c r="B43" s="428"/>
      <c r="C43" s="428"/>
      <c r="D43" s="428"/>
      <c r="E43" s="428"/>
      <c r="F43" s="428"/>
      <c r="G43" s="428"/>
      <c r="H43" s="428"/>
      <c r="I43" s="428"/>
      <c r="J43" s="428"/>
      <c r="K43" s="428"/>
      <c r="L43" s="428"/>
      <c r="M43" s="428"/>
      <c r="N43" s="450"/>
      <c r="O43" s="430"/>
      <c r="P43" s="418"/>
    </row>
    <row r="44" spans="1:17" s="419" customFormat="1" x14ac:dyDescent="0.3">
      <c r="A44" s="427"/>
      <c r="B44" s="428" t="s">
        <v>198</v>
      </c>
      <c r="C44" s="428"/>
      <c r="D44" s="428"/>
      <c r="E44" s="428"/>
      <c r="F44" s="428"/>
      <c r="G44" s="428"/>
      <c r="H44" s="428"/>
      <c r="I44" s="428"/>
      <c r="J44" s="428"/>
      <c r="K44" s="428"/>
      <c r="L44" s="434"/>
      <c r="M44" s="434"/>
      <c r="N44" s="451" t="s">
        <v>111</v>
      </c>
      <c r="O44" s="430"/>
      <c r="P44" s="418"/>
    </row>
    <row r="45" spans="1:17" s="419" customFormat="1" x14ac:dyDescent="0.3">
      <c r="A45" s="427"/>
      <c r="B45" s="433" t="s">
        <v>168</v>
      </c>
      <c r="C45" s="433"/>
      <c r="D45" s="433"/>
      <c r="E45" s="433"/>
      <c r="F45" s="433"/>
      <c r="G45" s="433"/>
      <c r="H45" s="433"/>
      <c r="I45" s="433"/>
      <c r="J45" s="433"/>
      <c r="K45" s="433"/>
      <c r="L45" s="452"/>
      <c r="M45" s="452"/>
      <c r="N45" s="453">
        <v>43174</v>
      </c>
      <c r="O45" s="430"/>
      <c r="P45" s="418"/>
    </row>
    <row r="46" spans="1:17" s="419" customFormat="1" x14ac:dyDescent="0.3">
      <c r="A46" s="427"/>
      <c r="B46" s="428" t="s">
        <v>119</v>
      </c>
      <c r="C46" s="428"/>
      <c r="D46" s="454"/>
      <c r="E46" s="454"/>
      <c r="F46" s="454"/>
      <c r="G46" s="454"/>
      <c r="H46" s="454"/>
      <c r="I46" s="454"/>
      <c r="J46" s="428">
        <f>+N46-L46+1</f>
        <v>91</v>
      </c>
      <c r="K46" s="454"/>
      <c r="L46" s="455">
        <v>42993</v>
      </c>
      <c r="M46" s="456"/>
      <c r="N46" s="455">
        <v>43083</v>
      </c>
      <c r="O46" s="430"/>
      <c r="P46" s="418"/>
    </row>
    <row r="47" spans="1:17" s="419" customFormat="1" x14ac:dyDescent="0.3">
      <c r="A47" s="427"/>
      <c r="B47" s="428" t="s">
        <v>120</v>
      </c>
      <c r="C47" s="428"/>
      <c r="D47" s="428"/>
      <c r="E47" s="428"/>
      <c r="F47" s="428"/>
      <c r="G47" s="428"/>
      <c r="H47" s="428"/>
      <c r="I47" s="428"/>
      <c r="J47" s="428">
        <f>+N47-L47+1</f>
        <v>90</v>
      </c>
      <c r="K47" s="428"/>
      <c r="L47" s="455">
        <v>43084</v>
      </c>
      <c r="M47" s="456"/>
      <c r="N47" s="455">
        <v>43173</v>
      </c>
      <c r="O47" s="430"/>
      <c r="P47" s="418"/>
    </row>
    <row r="48" spans="1:17" s="419" customFormat="1" x14ac:dyDescent="0.3">
      <c r="A48" s="427"/>
      <c r="B48" s="428" t="s">
        <v>199</v>
      </c>
      <c r="C48" s="428"/>
      <c r="D48" s="428"/>
      <c r="E48" s="428"/>
      <c r="F48" s="428"/>
      <c r="G48" s="428"/>
      <c r="H48" s="428"/>
      <c r="I48" s="428"/>
      <c r="J48" s="428"/>
      <c r="K48" s="428"/>
      <c r="L48" s="455"/>
      <c r="M48" s="456"/>
      <c r="N48" s="455" t="s">
        <v>143</v>
      </c>
      <c r="O48" s="430"/>
      <c r="P48" s="418"/>
      <c r="Q48" s="457"/>
    </row>
    <row r="49" spans="1:16" s="419" customFormat="1" x14ac:dyDescent="0.3">
      <c r="A49" s="427"/>
      <c r="B49" s="428" t="s">
        <v>14</v>
      </c>
      <c r="C49" s="428"/>
      <c r="D49" s="428"/>
      <c r="E49" s="428"/>
      <c r="F49" s="428"/>
      <c r="G49" s="428"/>
      <c r="H49" s="428"/>
      <c r="I49" s="428"/>
      <c r="J49" s="428"/>
      <c r="K49" s="428"/>
      <c r="L49" s="455"/>
      <c r="M49" s="456"/>
      <c r="N49" s="455">
        <v>43160</v>
      </c>
      <c r="O49" s="430"/>
      <c r="P49" s="418"/>
    </row>
    <row r="50" spans="1:16" s="419" customFormat="1" x14ac:dyDescent="0.3">
      <c r="A50" s="415"/>
      <c r="B50" s="458"/>
      <c r="C50" s="458"/>
      <c r="D50" s="458"/>
      <c r="E50" s="458"/>
      <c r="F50" s="458"/>
      <c r="G50" s="458"/>
      <c r="H50" s="458"/>
      <c r="I50" s="458"/>
      <c r="J50" s="458"/>
      <c r="K50" s="458"/>
      <c r="L50" s="459"/>
      <c r="M50" s="460"/>
      <c r="N50" s="459"/>
      <c r="O50" s="458"/>
      <c r="P50" s="418"/>
    </row>
    <row r="51" spans="1:16" s="419" customFormat="1" x14ac:dyDescent="0.3">
      <c r="A51" s="415"/>
      <c r="B51" s="416"/>
      <c r="C51" s="416"/>
      <c r="D51" s="416"/>
      <c r="E51" s="416"/>
      <c r="F51" s="416"/>
      <c r="G51" s="416"/>
      <c r="H51" s="416"/>
      <c r="I51" s="416"/>
      <c r="J51" s="416"/>
      <c r="K51" s="416"/>
      <c r="L51" s="461"/>
      <c r="M51" s="462"/>
      <c r="N51" s="461"/>
      <c r="O51" s="416"/>
      <c r="P51" s="418"/>
    </row>
    <row r="52" spans="1:16" s="419" customFormat="1" ht="18.600000000000001" thickBot="1" x14ac:dyDescent="0.4">
      <c r="A52" s="463"/>
      <c r="B52" s="464" t="s">
        <v>298</v>
      </c>
      <c r="C52" s="465"/>
      <c r="D52" s="465"/>
      <c r="E52" s="465"/>
      <c r="F52" s="465"/>
      <c r="G52" s="465"/>
      <c r="H52" s="465"/>
      <c r="I52" s="465"/>
      <c r="J52" s="465"/>
      <c r="K52" s="465"/>
      <c r="L52" s="465"/>
      <c r="M52" s="465"/>
      <c r="N52" s="466"/>
      <c r="O52" s="467"/>
      <c r="P52" s="418"/>
    </row>
    <row r="53" spans="1:16" x14ac:dyDescent="0.3">
      <c r="A53" s="585"/>
      <c r="B53" s="595" t="s">
        <v>15</v>
      </c>
      <c r="C53" s="586"/>
      <c r="D53" s="586"/>
      <c r="E53" s="586"/>
      <c r="F53" s="586"/>
      <c r="G53" s="586"/>
      <c r="H53" s="586"/>
      <c r="I53" s="586"/>
      <c r="J53" s="586"/>
      <c r="K53" s="586"/>
      <c r="L53" s="586"/>
      <c r="M53" s="586"/>
      <c r="N53" s="596"/>
      <c r="O53" s="586"/>
      <c r="P53" s="402"/>
    </row>
    <row r="54" spans="1:16" x14ac:dyDescent="0.3">
      <c r="A54" s="404"/>
      <c r="B54" s="413"/>
      <c r="C54" s="406"/>
      <c r="D54" s="406"/>
      <c r="E54" s="406"/>
      <c r="F54" s="406"/>
      <c r="G54" s="406"/>
      <c r="H54" s="406"/>
      <c r="I54" s="406"/>
      <c r="J54" s="406"/>
      <c r="K54" s="406"/>
      <c r="L54" s="406"/>
      <c r="M54" s="406"/>
      <c r="N54" s="468"/>
      <c r="O54" s="406"/>
      <c r="P54" s="402"/>
    </row>
    <row r="55" spans="1:16" s="569" customFormat="1" ht="46.8" x14ac:dyDescent="0.3">
      <c r="A55" s="572"/>
      <c r="B55" s="573" t="s">
        <v>16</v>
      </c>
      <c r="C55" s="574"/>
      <c r="D55" s="574" t="s">
        <v>91</v>
      </c>
      <c r="E55" s="574"/>
      <c r="F55" s="574" t="s">
        <v>93</v>
      </c>
      <c r="G55" s="574"/>
      <c r="H55" s="574" t="s">
        <v>95</v>
      </c>
      <c r="I55" s="574"/>
      <c r="J55" s="574" t="s">
        <v>97</v>
      </c>
      <c r="K55" s="574"/>
      <c r="L55" s="574" t="s">
        <v>104</v>
      </c>
      <c r="M55" s="574"/>
      <c r="N55" s="575" t="s">
        <v>112</v>
      </c>
      <c r="O55" s="576"/>
      <c r="P55" s="568"/>
    </row>
    <row r="56" spans="1:16" s="419" customFormat="1" x14ac:dyDescent="0.3">
      <c r="A56" s="427"/>
      <c r="B56" s="428" t="s">
        <v>17</v>
      </c>
      <c r="C56" s="469"/>
      <c r="D56" s="469">
        <v>268565</v>
      </c>
      <c r="E56" s="469"/>
      <c r="F56" s="470">
        <v>14842</v>
      </c>
      <c r="G56" s="469"/>
      <c r="H56" s="469">
        <v>1057</v>
      </c>
      <c r="I56" s="469"/>
      <c r="J56" s="469">
        <v>0</v>
      </c>
      <c r="K56" s="469"/>
      <c r="L56" s="469">
        <v>0</v>
      </c>
      <c r="M56" s="469"/>
      <c r="N56" s="470">
        <f>+F56-H56+J56-L56</f>
        <v>13785</v>
      </c>
      <c r="O56" s="430"/>
      <c r="P56" s="418"/>
    </row>
    <row r="57" spans="1:16" s="419" customFormat="1" x14ac:dyDescent="0.3">
      <c r="A57" s="427"/>
      <c r="B57" s="428" t="s">
        <v>209</v>
      </c>
      <c r="C57" s="469"/>
      <c r="D57" s="469">
        <v>756</v>
      </c>
      <c r="E57" s="469"/>
      <c r="F57" s="470">
        <v>70</v>
      </c>
      <c r="G57" s="469"/>
      <c r="H57" s="469">
        <v>3</v>
      </c>
      <c r="I57" s="469"/>
      <c r="J57" s="469">
        <v>0</v>
      </c>
      <c r="K57" s="469"/>
      <c r="L57" s="469">
        <v>0</v>
      </c>
      <c r="M57" s="469"/>
      <c r="N57" s="470">
        <f>+F57-H57</f>
        <v>67</v>
      </c>
      <c r="O57" s="430"/>
      <c r="P57" s="418"/>
    </row>
    <row r="58" spans="1:16" s="419" customFormat="1" x14ac:dyDescent="0.3">
      <c r="A58" s="427"/>
      <c r="B58" s="428"/>
      <c r="C58" s="469"/>
      <c r="D58" s="469"/>
      <c r="E58" s="469"/>
      <c r="F58" s="470"/>
      <c r="G58" s="469"/>
      <c r="H58" s="469"/>
      <c r="I58" s="469"/>
      <c r="J58" s="469"/>
      <c r="K58" s="469"/>
      <c r="L58" s="469"/>
      <c r="M58" s="469"/>
      <c r="N58" s="470"/>
      <c r="O58" s="430"/>
      <c r="P58" s="418"/>
    </row>
    <row r="59" spans="1:16" s="419" customFormat="1" x14ac:dyDescent="0.3">
      <c r="A59" s="427"/>
      <c r="B59" s="428" t="s">
        <v>19</v>
      </c>
      <c r="C59" s="469"/>
      <c r="D59" s="469">
        <f>SUM(D56:D58)</f>
        <v>269321</v>
      </c>
      <c r="E59" s="469"/>
      <c r="F59" s="469">
        <f>F56+F57</f>
        <v>14912</v>
      </c>
      <c r="G59" s="469"/>
      <c r="H59" s="469">
        <f>SUM(H56:H58)</f>
        <v>1060</v>
      </c>
      <c r="I59" s="469"/>
      <c r="J59" s="469">
        <f>SUM(J56:J58)</f>
        <v>0</v>
      </c>
      <c r="K59" s="469"/>
      <c r="L59" s="469">
        <f>SUM(L56:L58)</f>
        <v>0</v>
      </c>
      <c r="M59" s="469"/>
      <c r="N59" s="469">
        <f>SUM(N56:N58)</f>
        <v>13852</v>
      </c>
      <c r="O59" s="430"/>
      <c r="P59" s="418"/>
    </row>
    <row r="60" spans="1:16" x14ac:dyDescent="0.3">
      <c r="A60" s="404"/>
      <c r="B60" s="471"/>
      <c r="C60" s="472"/>
      <c r="D60" s="472"/>
      <c r="E60" s="472"/>
      <c r="F60" s="472"/>
      <c r="G60" s="472"/>
      <c r="H60" s="472"/>
      <c r="I60" s="472"/>
      <c r="J60" s="472"/>
      <c r="K60" s="472"/>
      <c r="L60" s="472"/>
      <c r="M60" s="472"/>
      <c r="N60" s="473"/>
      <c r="O60" s="471"/>
      <c r="P60" s="402"/>
    </row>
    <row r="61" spans="1:16" x14ac:dyDescent="0.3">
      <c r="A61" s="404"/>
      <c r="B61" s="408" t="s">
        <v>20</v>
      </c>
      <c r="C61" s="474"/>
      <c r="D61" s="474"/>
      <c r="E61" s="474"/>
      <c r="F61" s="474"/>
      <c r="G61" s="474"/>
      <c r="H61" s="474"/>
      <c r="I61" s="474"/>
      <c r="J61" s="474"/>
      <c r="K61" s="474"/>
      <c r="L61" s="474"/>
      <c r="M61" s="474"/>
      <c r="N61" s="475"/>
      <c r="O61" s="406"/>
      <c r="P61" s="402"/>
    </row>
    <row r="62" spans="1:16" x14ac:dyDescent="0.3">
      <c r="A62" s="404"/>
      <c r="B62" s="406"/>
      <c r="C62" s="474"/>
      <c r="D62" s="474"/>
      <c r="E62" s="474"/>
      <c r="F62" s="474"/>
      <c r="G62" s="474"/>
      <c r="H62" s="474"/>
      <c r="I62" s="474"/>
      <c r="J62" s="474"/>
      <c r="K62" s="474"/>
      <c r="L62" s="474"/>
      <c r="M62" s="474"/>
      <c r="N62" s="475"/>
      <c r="O62" s="406"/>
      <c r="P62" s="402"/>
    </row>
    <row r="63" spans="1:16" s="419" customFormat="1" x14ac:dyDescent="0.3">
      <c r="A63" s="427"/>
      <c r="B63" s="428" t="s">
        <v>17</v>
      </c>
      <c r="C63" s="469"/>
      <c r="D63" s="469"/>
      <c r="E63" s="469"/>
      <c r="F63" s="469"/>
      <c r="G63" s="469"/>
      <c r="H63" s="469"/>
      <c r="I63" s="469"/>
      <c r="J63" s="469"/>
      <c r="K63" s="469"/>
      <c r="L63" s="469"/>
      <c r="M63" s="469"/>
      <c r="N63" s="469"/>
      <c r="O63" s="430"/>
      <c r="P63" s="418"/>
    </row>
    <row r="64" spans="1:16" s="419" customFormat="1" x14ac:dyDescent="0.3">
      <c r="A64" s="427"/>
      <c r="B64" s="428" t="s">
        <v>18</v>
      </c>
      <c r="C64" s="469"/>
      <c r="D64" s="469"/>
      <c r="E64" s="469"/>
      <c r="F64" s="469"/>
      <c r="G64" s="469"/>
      <c r="H64" s="469"/>
      <c r="I64" s="469"/>
      <c r="J64" s="469"/>
      <c r="K64" s="469"/>
      <c r="L64" s="469"/>
      <c r="M64" s="469"/>
      <c r="N64" s="469"/>
      <c r="O64" s="430"/>
      <c r="P64" s="418"/>
    </row>
    <row r="65" spans="1:16" s="419" customFormat="1" x14ac:dyDescent="0.3">
      <c r="A65" s="427"/>
      <c r="B65" s="428"/>
      <c r="C65" s="469"/>
      <c r="D65" s="469"/>
      <c r="E65" s="469"/>
      <c r="F65" s="469"/>
      <c r="G65" s="469"/>
      <c r="H65" s="469"/>
      <c r="I65" s="469"/>
      <c r="J65" s="469"/>
      <c r="K65" s="469"/>
      <c r="L65" s="469"/>
      <c r="M65" s="469"/>
      <c r="N65" s="469"/>
      <c r="O65" s="430"/>
      <c r="P65" s="418"/>
    </row>
    <row r="66" spans="1:16" s="419" customFormat="1" x14ac:dyDescent="0.3">
      <c r="A66" s="427"/>
      <c r="B66" s="428" t="s">
        <v>19</v>
      </c>
      <c r="C66" s="469"/>
      <c r="D66" s="469"/>
      <c r="E66" s="469"/>
      <c r="F66" s="469"/>
      <c r="G66" s="469"/>
      <c r="H66" s="469"/>
      <c r="I66" s="469"/>
      <c r="J66" s="469"/>
      <c r="K66" s="469"/>
      <c r="L66" s="469"/>
      <c r="M66" s="469"/>
      <c r="N66" s="469"/>
      <c r="O66" s="430"/>
      <c r="P66" s="418"/>
    </row>
    <row r="67" spans="1:16" s="419" customFormat="1" x14ac:dyDescent="0.3">
      <c r="A67" s="427"/>
      <c r="B67" s="428"/>
      <c r="C67" s="469"/>
      <c r="D67" s="469"/>
      <c r="E67" s="469"/>
      <c r="F67" s="469"/>
      <c r="G67" s="469"/>
      <c r="H67" s="469"/>
      <c r="I67" s="469"/>
      <c r="J67" s="469"/>
      <c r="K67" s="469"/>
      <c r="L67" s="469"/>
      <c r="M67" s="469"/>
      <c r="N67" s="469"/>
      <c r="O67" s="430"/>
      <c r="P67" s="418"/>
    </row>
    <row r="68" spans="1:16" s="419" customFormat="1" x14ac:dyDescent="0.3">
      <c r="A68" s="427"/>
      <c r="B68" s="428" t="s">
        <v>209</v>
      </c>
      <c r="C68" s="469"/>
      <c r="D68" s="469">
        <v>-756</v>
      </c>
      <c r="E68" s="469"/>
      <c r="F68" s="469">
        <v>-70</v>
      </c>
      <c r="G68" s="469"/>
      <c r="H68" s="469"/>
      <c r="I68" s="469"/>
      <c r="J68" s="469"/>
      <c r="K68" s="469"/>
      <c r="L68" s="469"/>
      <c r="M68" s="469"/>
      <c r="N68" s="470">
        <f>-N57</f>
        <v>-67</v>
      </c>
      <c r="O68" s="430"/>
      <c r="P68" s="418"/>
    </row>
    <row r="69" spans="1:16" s="419" customFormat="1" x14ac:dyDescent="0.3">
      <c r="A69" s="427"/>
      <c r="B69" s="428" t="s">
        <v>21</v>
      </c>
      <c r="C69" s="469"/>
      <c r="D69" s="469">
        <v>0</v>
      </c>
      <c r="E69" s="469"/>
      <c r="F69" s="469">
        <v>0</v>
      </c>
      <c r="G69" s="469"/>
      <c r="H69" s="469"/>
      <c r="I69" s="469"/>
      <c r="J69" s="469"/>
      <c r="K69" s="469"/>
      <c r="L69" s="469"/>
      <c r="M69" s="469"/>
      <c r="N69" s="469">
        <f>SUM(D69:J69)</f>
        <v>0</v>
      </c>
      <c r="O69" s="430"/>
      <c r="P69" s="418"/>
    </row>
    <row r="70" spans="1:16" s="419" customFormat="1" x14ac:dyDescent="0.3">
      <c r="A70" s="427"/>
      <c r="B70" s="428" t="s">
        <v>210</v>
      </c>
      <c r="C70" s="469"/>
      <c r="D70" s="469">
        <v>35</v>
      </c>
      <c r="E70" s="469"/>
      <c r="F70" s="469">
        <v>0</v>
      </c>
      <c r="G70" s="469"/>
      <c r="H70" s="469">
        <v>0</v>
      </c>
      <c r="I70" s="469"/>
      <c r="J70" s="469"/>
      <c r="K70" s="469"/>
      <c r="L70" s="469"/>
      <c r="M70" s="469"/>
      <c r="N70" s="469">
        <f>+F70+H70</f>
        <v>0</v>
      </c>
      <c r="O70" s="430"/>
      <c r="P70" s="418"/>
    </row>
    <row r="71" spans="1:16" s="419" customFormat="1" x14ac:dyDescent="0.3">
      <c r="A71" s="427"/>
      <c r="B71" s="428" t="s">
        <v>23</v>
      </c>
      <c r="C71" s="469"/>
      <c r="D71" s="469">
        <v>0</v>
      </c>
      <c r="E71" s="469"/>
      <c r="F71" s="469">
        <v>0</v>
      </c>
      <c r="G71" s="469"/>
      <c r="H71" s="469"/>
      <c r="I71" s="469"/>
      <c r="J71" s="469"/>
      <c r="K71" s="469"/>
      <c r="L71" s="469"/>
      <c r="M71" s="469"/>
      <c r="N71" s="469">
        <v>0</v>
      </c>
      <c r="O71" s="430"/>
      <c r="P71" s="418"/>
    </row>
    <row r="72" spans="1:16" s="419" customFormat="1" x14ac:dyDescent="0.3">
      <c r="A72" s="427"/>
      <c r="B72" s="428" t="s">
        <v>24</v>
      </c>
      <c r="C72" s="469"/>
      <c r="D72" s="469">
        <f>SUM(D59:D71)</f>
        <v>268600</v>
      </c>
      <c r="E72" s="469"/>
      <c r="F72" s="469">
        <f>SUM(F59:F71)</f>
        <v>14842</v>
      </c>
      <c r="G72" s="469"/>
      <c r="H72" s="469"/>
      <c r="I72" s="469"/>
      <c r="J72" s="469"/>
      <c r="K72" s="469"/>
      <c r="L72" s="469"/>
      <c r="M72" s="469"/>
      <c r="N72" s="469">
        <f>SUM(N59:N71)</f>
        <v>13785</v>
      </c>
      <c r="O72" s="430"/>
      <c r="P72" s="418"/>
    </row>
    <row r="73" spans="1:16" x14ac:dyDescent="0.3">
      <c r="A73" s="404"/>
      <c r="B73" s="476"/>
      <c r="C73" s="477"/>
      <c r="D73" s="477"/>
      <c r="E73" s="477"/>
      <c r="F73" s="477"/>
      <c r="G73" s="477"/>
      <c r="H73" s="477"/>
      <c r="I73" s="477"/>
      <c r="J73" s="477"/>
      <c r="K73" s="477"/>
      <c r="L73" s="477"/>
      <c r="M73" s="477"/>
      <c r="N73" s="477"/>
      <c r="O73" s="476"/>
      <c r="P73" s="402"/>
    </row>
    <row r="74" spans="1:16" x14ac:dyDescent="0.3">
      <c r="A74" s="404"/>
      <c r="B74" s="478"/>
      <c r="C74" s="478"/>
      <c r="D74" s="478"/>
      <c r="E74" s="478"/>
      <c r="F74" s="478"/>
      <c r="G74" s="478"/>
      <c r="H74" s="478"/>
      <c r="I74" s="478"/>
      <c r="J74" s="478"/>
      <c r="K74" s="478"/>
      <c r="L74" s="478"/>
      <c r="M74" s="478"/>
      <c r="N74" s="478"/>
      <c r="O74" s="478"/>
      <c r="P74" s="402"/>
    </row>
    <row r="75" spans="1:16" x14ac:dyDescent="0.3">
      <c r="A75" s="585"/>
      <c r="B75" s="599" t="s">
        <v>25</v>
      </c>
      <c r="C75" s="599"/>
      <c r="D75" s="600" t="s">
        <v>92</v>
      </c>
      <c r="E75" s="601"/>
      <c r="F75" s="602">
        <f>+L183</f>
        <v>43159</v>
      </c>
      <c r="G75" s="601"/>
      <c r="H75" s="601"/>
      <c r="I75" s="601"/>
      <c r="J75" s="601"/>
      <c r="K75" s="601"/>
      <c r="L75" s="601" t="s">
        <v>105</v>
      </c>
      <c r="M75" s="601"/>
      <c r="N75" s="601" t="s">
        <v>113</v>
      </c>
      <c r="O75" s="594"/>
      <c r="P75" s="402"/>
    </row>
    <row r="76" spans="1:16" s="419" customFormat="1" x14ac:dyDescent="0.3">
      <c r="A76" s="587"/>
      <c r="B76" s="588" t="s">
        <v>26</v>
      </c>
      <c r="C76" s="588"/>
      <c r="D76" s="588"/>
      <c r="E76" s="588"/>
      <c r="F76" s="588"/>
      <c r="G76" s="588"/>
      <c r="H76" s="588"/>
      <c r="I76" s="588"/>
      <c r="J76" s="588"/>
      <c r="K76" s="588"/>
      <c r="L76" s="597">
        <v>0</v>
      </c>
      <c r="M76" s="588"/>
      <c r="N76" s="598">
        <v>0</v>
      </c>
      <c r="O76" s="590"/>
      <c r="P76" s="418"/>
    </row>
    <row r="77" spans="1:16" s="419" customFormat="1" x14ac:dyDescent="0.3">
      <c r="A77" s="427"/>
      <c r="B77" s="428" t="s">
        <v>27</v>
      </c>
      <c r="C77" s="428"/>
      <c r="D77" s="449"/>
      <c r="E77" s="428"/>
      <c r="F77" s="479"/>
      <c r="G77" s="428"/>
      <c r="H77" s="428"/>
      <c r="I77" s="428"/>
      <c r="J77" s="428"/>
      <c r="K77" s="428"/>
      <c r="L77" s="469">
        <v>1057</v>
      </c>
      <c r="M77" s="428"/>
      <c r="N77" s="470"/>
      <c r="O77" s="430"/>
      <c r="P77" s="418"/>
    </row>
    <row r="78" spans="1:16" s="419" customFormat="1" x14ac:dyDescent="0.3">
      <c r="A78" s="427"/>
      <c r="B78" s="428" t="s">
        <v>176</v>
      </c>
      <c r="C78" s="428"/>
      <c r="D78" s="449"/>
      <c r="E78" s="428"/>
      <c r="F78" s="479"/>
      <c r="G78" s="428"/>
      <c r="H78" s="428"/>
      <c r="I78" s="428"/>
      <c r="J78" s="428"/>
      <c r="K78" s="428"/>
      <c r="L78" s="469"/>
      <c r="M78" s="428"/>
      <c r="N78" s="470">
        <f>477+63+75-362-38-52</f>
        <v>163</v>
      </c>
      <c r="O78" s="430"/>
      <c r="P78" s="418"/>
    </row>
    <row r="79" spans="1:16" s="419" customFormat="1" x14ac:dyDescent="0.3">
      <c r="A79" s="427"/>
      <c r="B79" s="428" t="s">
        <v>174</v>
      </c>
      <c r="C79" s="428"/>
      <c r="D79" s="449"/>
      <c r="E79" s="428"/>
      <c r="F79" s="479"/>
      <c r="G79" s="428"/>
      <c r="H79" s="428"/>
      <c r="I79" s="428"/>
      <c r="J79" s="428"/>
      <c r="K79" s="428"/>
      <c r="L79" s="469"/>
      <c r="M79" s="428"/>
      <c r="N79" s="470">
        <v>51</v>
      </c>
      <c r="O79" s="430"/>
      <c r="P79" s="418"/>
    </row>
    <row r="80" spans="1:16" s="419" customFormat="1" x14ac:dyDescent="0.3">
      <c r="A80" s="427"/>
      <c r="B80" s="428" t="s">
        <v>175</v>
      </c>
      <c r="C80" s="428"/>
      <c r="D80" s="449"/>
      <c r="E80" s="428"/>
      <c r="F80" s="479"/>
      <c r="G80" s="428"/>
      <c r="H80" s="428"/>
      <c r="I80" s="428"/>
      <c r="J80" s="428"/>
      <c r="K80" s="428"/>
      <c r="L80" s="469"/>
      <c r="M80" s="428"/>
      <c r="N80" s="470">
        <v>0</v>
      </c>
      <c r="O80" s="430"/>
      <c r="P80" s="418"/>
    </row>
    <row r="81" spans="1:17" s="419" customFormat="1" x14ac:dyDescent="0.3">
      <c r="A81" s="427"/>
      <c r="B81" s="428" t="s">
        <v>131</v>
      </c>
      <c r="C81" s="428"/>
      <c r="D81" s="428"/>
      <c r="E81" s="428"/>
      <c r="F81" s="428"/>
      <c r="G81" s="428"/>
      <c r="H81" s="428"/>
      <c r="I81" s="428"/>
      <c r="J81" s="428"/>
      <c r="K81" s="428"/>
      <c r="L81" s="469"/>
      <c r="M81" s="428"/>
      <c r="N81" s="470">
        <v>0</v>
      </c>
      <c r="O81" s="430"/>
      <c r="P81" s="418"/>
    </row>
    <row r="82" spans="1:17" s="419" customFormat="1" x14ac:dyDescent="0.3">
      <c r="A82" s="427"/>
      <c r="B82" s="428" t="s">
        <v>211</v>
      </c>
      <c r="C82" s="428"/>
      <c r="D82" s="428"/>
      <c r="E82" s="428"/>
      <c r="F82" s="428"/>
      <c r="G82" s="428"/>
      <c r="H82" s="428"/>
      <c r="I82" s="428"/>
      <c r="J82" s="428"/>
      <c r="K82" s="428"/>
      <c r="L82" s="469"/>
      <c r="M82" s="428"/>
      <c r="N82" s="470">
        <v>0</v>
      </c>
      <c r="O82" s="430"/>
      <c r="P82" s="418"/>
    </row>
    <row r="83" spans="1:17" s="419" customFormat="1" x14ac:dyDescent="0.3">
      <c r="A83" s="427"/>
      <c r="B83" s="428" t="s">
        <v>28</v>
      </c>
      <c r="C83" s="428"/>
      <c r="D83" s="428"/>
      <c r="E83" s="428"/>
      <c r="F83" s="428"/>
      <c r="G83" s="428"/>
      <c r="H83" s="428"/>
      <c r="I83" s="428"/>
      <c r="J83" s="428"/>
      <c r="K83" s="428"/>
      <c r="L83" s="469">
        <f>SUM(L76:L82)</f>
        <v>1057</v>
      </c>
      <c r="M83" s="428"/>
      <c r="N83" s="469">
        <f>SUM(N76:N82)</f>
        <v>214</v>
      </c>
      <c r="O83" s="430"/>
      <c r="P83" s="418"/>
    </row>
    <row r="84" spans="1:17" s="419" customFormat="1" x14ac:dyDescent="0.3">
      <c r="A84" s="427"/>
      <c r="B84" s="428" t="s">
        <v>148</v>
      </c>
      <c r="C84" s="428"/>
      <c r="D84" s="428"/>
      <c r="E84" s="428"/>
      <c r="F84" s="428"/>
      <c r="G84" s="428"/>
      <c r="H84" s="428"/>
      <c r="I84" s="428"/>
      <c r="J84" s="428"/>
      <c r="K84" s="428"/>
      <c r="L84" s="469">
        <v>0</v>
      </c>
      <c r="M84" s="428"/>
      <c r="N84" s="469">
        <f>-L84</f>
        <v>0</v>
      </c>
      <c r="O84" s="430"/>
      <c r="P84" s="418"/>
    </row>
    <row r="85" spans="1:17" s="419" customFormat="1" x14ac:dyDescent="0.3">
      <c r="A85" s="427"/>
      <c r="B85" s="428" t="s">
        <v>29</v>
      </c>
      <c r="C85" s="428"/>
      <c r="D85" s="428"/>
      <c r="E85" s="428"/>
      <c r="F85" s="428"/>
      <c r="G85" s="428"/>
      <c r="H85" s="428"/>
      <c r="I85" s="428"/>
      <c r="J85" s="428"/>
      <c r="K85" s="428"/>
      <c r="L85" s="469">
        <f>-N85</f>
        <v>0</v>
      </c>
      <c r="M85" s="428"/>
      <c r="N85" s="470">
        <v>0</v>
      </c>
      <c r="O85" s="430"/>
      <c r="P85" s="418"/>
    </row>
    <row r="86" spans="1:17" s="419" customFormat="1" x14ac:dyDescent="0.3">
      <c r="A86" s="427"/>
      <c r="B86" s="428" t="s">
        <v>244</v>
      </c>
      <c r="C86" s="428"/>
      <c r="D86" s="428"/>
      <c r="E86" s="428"/>
      <c r="F86" s="428"/>
      <c r="G86" s="428"/>
      <c r="H86" s="428"/>
      <c r="I86" s="428"/>
      <c r="J86" s="428"/>
      <c r="K86" s="428"/>
      <c r="L86" s="469"/>
      <c r="M86" s="428"/>
      <c r="N86" s="470">
        <v>0</v>
      </c>
      <c r="O86" s="430"/>
      <c r="P86" s="418"/>
    </row>
    <row r="87" spans="1:17" s="419" customFormat="1" x14ac:dyDescent="0.3">
      <c r="A87" s="427"/>
      <c r="B87" s="428" t="s">
        <v>30</v>
      </c>
      <c r="C87" s="428"/>
      <c r="D87" s="428"/>
      <c r="E87" s="428"/>
      <c r="F87" s="428"/>
      <c r="G87" s="428"/>
      <c r="H87" s="428"/>
      <c r="I87" s="428"/>
      <c r="J87" s="428"/>
      <c r="K87" s="428"/>
      <c r="L87" s="469">
        <f>L83+L85+L84</f>
        <v>1057</v>
      </c>
      <c r="M87" s="428"/>
      <c r="N87" s="469">
        <f>N83+N85+N84+N86</f>
        <v>214</v>
      </c>
      <c r="O87" s="430"/>
      <c r="P87" s="418"/>
    </row>
    <row r="88" spans="1:17" x14ac:dyDescent="0.3">
      <c r="A88" s="442"/>
      <c r="B88" s="577" t="s">
        <v>31</v>
      </c>
      <c r="C88" s="443"/>
      <c r="D88" s="443"/>
      <c r="E88" s="443"/>
      <c r="F88" s="443"/>
      <c r="G88" s="443"/>
      <c r="H88" s="443"/>
      <c r="I88" s="443"/>
      <c r="J88" s="443"/>
      <c r="K88" s="443"/>
      <c r="L88" s="480"/>
      <c r="M88" s="443"/>
      <c r="N88" s="481"/>
      <c r="O88" s="445"/>
      <c r="P88" s="402"/>
    </row>
    <row r="89" spans="1:17" s="419" customFormat="1" x14ac:dyDescent="0.3">
      <c r="A89" s="427">
        <v>1</v>
      </c>
      <c r="B89" s="428" t="s">
        <v>32</v>
      </c>
      <c r="C89" s="428"/>
      <c r="D89" s="428"/>
      <c r="E89" s="428"/>
      <c r="F89" s="428"/>
      <c r="G89" s="428"/>
      <c r="H89" s="428"/>
      <c r="I89" s="428"/>
      <c r="J89" s="428"/>
      <c r="K89" s="428"/>
      <c r="L89" s="428"/>
      <c r="M89" s="428"/>
      <c r="N89" s="470">
        <v>0</v>
      </c>
      <c r="O89" s="430"/>
      <c r="P89" s="418"/>
    </row>
    <row r="90" spans="1:17" s="419" customFormat="1" x14ac:dyDescent="0.3">
      <c r="A90" s="427">
        <f>+A89+1</f>
        <v>2</v>
      </c>
      <c r="B90" s="428" t="s">
        <v>224</v>
      </c>
      <c r="C90" s="428"/>
      <c r="D90" s="428"/>
      <c r="E90" s="428"/>
      <c r="F90" s="428"/>
      <c r="G90" s="428"/>
      <c r="H90" s="428"/>
      <c r="I90" s="428"/>
      <c r="J90" s="428"/>
      <c r="K90" s="428"/>
      <c r="L90" s="428"/>
      <c r="M90" s="428"/>
      <c r="N90" s="470">
        <v>-2</v>
      </c>
      <c r="O90" s="430"/>
      <c r="P90" s="418"/>
    </row>
    <row r="91" spans="1:17" s="419" customFormat="1" x14ac:dyDescent="0.3">
      <c r="A91" s="427">
        <f>+A90+1</f>
        <v>3</v>
      </c>
      <c r="B91" s="428" t="s">
        <v>235</v>
      </c>
      <c r="C91" s="428"/>
      <c r="D91" s="428"/>
      <c r="E91" s="428"/>
      <c r="F91" s="428"/>
      <c r="G91" s="428"/>
      <c r="H91" s="428"/>
      <c r="I91" s="428"/>
      <c r="J91" s="428"/>
      <c r="K91" s="428"/>
      <c r="L91" s="428"/>
      <c r="M91" s="428"/>
      <c r="N91" s="470">
        <f>-5-23</f>
        <v>-28</v>
      </c>
      <c r="O91" s="430"/>
      <c r="P91" s="418"/>
    </row>
    <row r="92" spans="1:17" s="419" customFormat="1" x14ac:dyDescent="0.3">
      <c r="A92" s="427" t="s">
        <v>123</v>
      </c>
      <c r="B92" s="428" t="s">
        <v>116</v>
      </c>
      <c r="C92" s="428"/>
      <c r="D92" s="428"/>
      <c r="E92" s="428"/>
      <c r="F92" s="428"/>
      <c r="G92" s="428"/>
      <c r="H92" s="428"/>
      <c r="I92" s="428"/>
      <c r="J92" s="428"/>
      <c r="K92" s="428"/>
      <c r="L92" s="428"/>
      <c r="M92" s="428"/>
      <c r="N92" s="470">
        <v>0</v>
      </c>
      <c r="O92" s="430"/>
      <c r="P92" s="418"/>
    </row>
    <row r="93" spans="1:17" s="419" customFormat="1" x14ac:dyDescent="0.3">
      <c r="A93" s="427" t="s">
        <v>124</v>
      </c>
      <c r="B93" s="428" t="s">
        <v>214</v>
      </c>
      <c r="C93" s="428"/>
      <c r="D93" s="428"/>
      <c r="E93" s="428"/>
      <c r="F93" s="428"/>
      <c r="G93" s="428"/>
      <c r="H93" s="428"/>
      <c r="I93" s="428"/>
      <c r="J93" s="428"/>
      <c r="K93" s="428"/>
      <c r="L93" s="428"/>
      <c r="M93" s="428"/>
      <c r="N93" s="470">
        <v>-22</v>
      </c>
      <c r="O93" s="430"/>
      <c r="P93" s="418"/>
    </row>
    <row r="94" spans="1:17" s="419" customFormat="1" x14ac:dyDescent="0.3">
      <c r="A94" s="427" t="s">
        <v>140</v>
      </c>
      <c r="B94" s="428" t="s">
        <v>180</v>
      </c>
      <c r="C94" s="428"/>
      <c r="D94" s="428"/>
      <c r="E94" s="428"/>
      <c r="F94" s="428"/>
      <c r="G94" s="428"/>
      <c r="H94" s="428"/>
      <c r="I94" s="428"/>
      <c r="J94" s="428"/>
      <c r="K94" s="428"/>
      <c r="L94" s="428"/>
      <c r="M94" s="428"/>
      <c r="N94" s="470">
        <v>0</v>
      </c>
      <c r="O94" s="430"/>
      <c r="P94" s="418"/>
    </row>
    <row r="95" spans="1:17" s="419" customFormat="1" x14ac:dyDescent="0.3">
      <c r="A95" s="427" t="s">
        <v>169</v>
      </c>
      <c r="B95" s="428" t="s">
        <v>215</v>
      </c>
      <c r="C95" s="428"/>
      <c r="D95" s="428"/>
      <c r="E95" s="428"/>
      <c r="F95" s="428"/>
      <c r="G95" s="428"/>
      <c r="H95" s="428"/>
      <c r="I95" s="428"/>
      <c r="J95" s="428"/>
      <c r="K95" s="428"/>
      <c r="L95" s="428"/>
      <c r="M95" s="428"/>
      <c r="N95" s="470">
        <v>-3</v>
      </c>
      <c r="O95" s="430"/>
      <c r="P95" s="418"/>
      <c r="Q95" s="482"/>
    </row>
    <row r="96" spans="1:17" s="419" customFormat="1" x14ac:dyDescent="0.3">
      <c r="A96" s="427" t="s">
        <v>170</v>
      </c>
      <c r="B96" s="428" t="s">
        <v>216</v>
      </c>
      <c r="C96" s="428"/>
      <c r="D96" s="428"/>
      <c r="E96" s="428"/>
      <c r="F96" s="428"/>
      <c r="G96" s="428"/>
      <c r="H96" s="428"/>
      <c r="I96" s="428"/>
      <c r="J96" s="428"/>
      <c r="K96" s="428"/>
      <c r="L96" s="428"/>
      <c r="M96" s="428"/>
      <c r="N96" s="470">
        <v>-4</v>
      </c>
      <c r="O96" s="430"/>
      <c r="P96" s="418"/>
      <c r="Q96" s="482"/>
    </row>
    <row r="97" spans="1:16" s="419" customFormat="1" x14ac:dyDescent="0.3">
      <c r="A97" s="427">
        <v>7</v>
      </c>
      <c r="B97" s="428" t="s">
        <v>33</v>
      </c>
      <c r="C97" s="428"/>
      <c r="D97" s="428"/>
      <c r="E97" s="428"/>
      <c r="F97" s="428"/>
      <c r="G97" s="428"/>
      <c r="H97" s="428"/>
      <c r="I97" s="428"/>
      <c r="J97" s="428"/>
      <c r="K97" s="428"/>
      <c r="L97" s="428"/>
      <c r="M97" s="428"/>
      <c r="N97" s="470">
        <v>-7</v>
      </c>
      <c r="O97" s="430"/>
      <c r="P97" s="418"/>
    </row>
    <row r="98" spans="1:16" s="419" customFormat="1" x14ac:dyDescent="0.3">
      <c r="A98" s="427">
        <f t="shared" ref="A98:A104" si="0">+A97+1</f>
        <v>8</v>
      </c>
      <c r="B98" s="428" t="s">
        <v>42</v>
      </c>
      <c r="C98" s="428"/>
      <c r="D98" s="428"/>
      <c r="E98" s="428"/>
      <c r="F98" s="428"/>
      <c r="G98" s="428"/>
      <c r="H98" s="428"/>
      <c r="I98" s="428"/>
      <c r="J98" s="428"/>
      <c r="K98" s="428"/>
      <c r="L98" s="469">
        <f>-N98</f>
        <v>0</v>
      </c>
      <c r="M98" s="428"/>
      <c r="N98" s="470">
        <v>0</v>
      </c>
      <c r="O98" s="430"/>
      <c r="P98" s="418"/>
    </row>
    <row r="99" spans="1:16" s="419" customFormat="1" x14ac:dyDescent="0.3">
      <c r="A99" s="427">
        <f t="shared" si="0"/>
        <v>9</v>
      </c>
      <c r="B99" s="428" t="s">
        <v>121</v>
      </c>
      <c r="C99" s="428"/>
      <c r="D99" s="428"/>
      <c r="E99" s="428"/>
      <c r="F99" s="428"/>
      <c r="G99" s="428"/>
      <c r="H99" s="428"/>
      <c r="I99" s="428"/>
      <c r="J99" s="428"/>
      <c r="K99" s="428"/>
      <c r="L99" s="428"/>
      <c r="M99" s="428"/>
      <c r="N99" s="470">
        <v>0</v>
      </c>
      <c r="O99" s="430"/>
      <c r="P99" s="418"/>
    </row>
    <row r="100" spans="1:16" s="419" customFormat="1" x14ac:dyDescent="0.3">
      <c r="A100" s="427">
        <f t="shared" si="0"/>
        <v>10</v>
      </c>
      <c r="B100" s="428" t="s">
        <v>182</v>
      </c>
      <c r="C100" s="428"/>
      <c r="D100" s="428"/>
      <c r="E100" s="428"/>
      <c r="F100" s="428"/>
      <c r="G100" s="428"/>
      <c r="H100" s="428"/>
      <c r="I100" s="428"/>
      <c r="J100" s="428"/>
      <c r="K100" s="428"/>
      <c r="L100" s="428"/>
      <c r="M100" s="428"/>
      <c r="N100" s="470">
        <v>0</v>
      </c>
      <c r="O100" s="430"/>
      <c r="P100" s="418"/>
    </row>
    <row r="101" spans="1:16" s="419" customFormat="1" x14ac:dyDescent="0.3">
      <c r="A101" s="427">
        <f t="shared" si="0"/>
        <v>11</v>
      </c>
      <c r="B101" s="428" t="s">
        <v>34</v>
      </c>
      <c r="C101" s="428"/>
      <c r="D101" s="428"/>
      <c r="E101" s="428"/>
      <c r="F101" s="428"/>
      <c r="G101" s="428"/>
      <c r="H101" s="428"/>
      <c r="I101" s="428"/>
      <c r="J101" s="428"/>
      <c r="K101" s="428"/>
      <c r="L101" s="428"/>
      <c r="M101" s="428"/>
      <c r="N101" s="470">
        <v>0</v>
      </c>
      <c r="O101" s="430"/>
      <c r="P101" s="418"/>
    </row>
    <row r="102" spans="1:16" s="419" customFormat="1" x14ac:dyDescent="0.3">
      <c r="A102" s="427">
        <f t="shared" si="0"/>
        <v>12</v>
      </c>
      <c r="B102" s="428" t="s">
        <v>181</v>
      </c>
      <c r="C102" s="428"/>
      <c r="D102" s="428"/>
      <c r="E102" s="428"/>
      <c r="F102" s="428"/>
      <c r="G102" s="428"/>
      <c r="H102" s="428"/>
      <c r="I102" s="428"/>
      <c r="J102" s="428"/>
      <c r="K102" s="428"/>
      <c r="L102" s="428"/>
      <c r="M102" s="428"/>
      <c r="N102" s="470">
        <v>0</v>
      </c>
      <c r="O102" s="430"/>
      <c r="P102" s="418"/>
    </row>
    <row r="103" spans="1:16" s="419" customFormat="1" x14ac:dyDescent="0.3">
      <c r="A103" s="427">
        <f t="shared" si="0"/>
        <v>13</v>
      </c>
      <c r="B103" s="428" t="s">
        <v>139</v>
      </c>
      <c r="C103" s="428"/>
      <c r="D103" s="428"/>
      <c r="E103" s="428"/>
      <c r="F103" s="428"/>
      <c r="G103" s="428"/>
      <c r="H103" s="428"/>
      <c r="I103" s="428"/>
      <c r="J103" s="428"/>
      <c r="K103" s="428"/>
      <c r="L103" s="428"/>
      <c r="M103" s="428"/>
      <c r="N103" s="470">
        <v>-5</v>
      </c>
      <c r="O103" s="430"/>
      <c r="P103" s="418"/>
    </row>
    <row r="104" spans="1:16" s="419" customFormat="1" x14ac:dyDescent="0.3">
      <c r="A104" s="427">
        <f t="shared" si="0"/>
        <v>14</v>
      </c>
      <c r="B104" s="428" t="s">
        <v>122</v>
      </c>
      <c r="C104" s="428"/>
      <c r="D104" s="428"/>
      <c r="E104" s="428"/>
      <c r="F104" s="428"/>
      <c r="G104" s="428"/>
      <c r="H104" s="428"/>
      <c r="I104" s="428"/>
      <c r="J104" s="428"/>
      <c r="K104" s="428"/>
      <c r="L104" s="428"/>
      <c r="M104" s="428"/>
      <c r="N104" s="470">
        <f>-N87-SUM(N89:N103)</f>
        <v>-143</v>
      </c>
      <c r="O104" s="430"/>
      <c r="P104" s="418"/>
    </row>
    <row r="105" spans="1:16" x14ac:dyDescent="0.3">
      <c r="A105" s="442"/>
      <c r="B105" s="577" t="s">
        <v>35</v>
      </c>
      <c r="C105" s="443"/>
      <c r="D105" s="443"/>
      <c r="E105" s="443"/>
      <c r="F105" s="443"/>
      <c r="G105" s="443"/>
      <c r="H105" s="443"/>
      <c r="I105" s="443"/>
      <c r="J105" s="443"/>
      <c r="K105" s="443"/>
      <c r="L105" s="443"/>
      <c r="M105" s="443"/>
      <c r="N105" s="483"/>
      <c r="O105" s="445"/>
      <c r="P105" s="402"/>
    </row>
    <row r="106" spans="1:16" s="419" customFormat="1" x14ac:dyDescent="0.3">
      <c r="A106" s="427"/>
      <c r="B106" s="428" t="s">
        <v>160</v>
      </c>
      <c r="C106" s="428"/>
      <c r="D106" s="428"/>
      <c r="E106" s="428"/>
      <c r="F106" s="428"/>
      <c r="G106" s="428"/>
      <c r="H106" s="428"/>
      <c r="I106" s="428"/>
      <c r="J106" s="428"/>
      <c r="K106" s="428"/>
      <c r="L106" s="469">
        <v>0</v>
      </c>
      <c r="M106" s="469"/>
      <c r="N106" s="470"/>
      <c r="O106" s="430"/>
      <c r="P106" s="418"/>
    </row>
    <row r="107" spans="1:16" s="419" customFormat="1" x14ac:dyDescent="0.3">
      <c r="A107" s="427"/>
      <c r="B107" s="428" t="s">
        <v>161</v>
      </c>
      <c r="C107" s="428"/>
      <c r="D107" s="428"/>
      <c r="E107" s="428"/>
      <c r="F107" s="428"/>
      <c r="G107" s="428"/>
      <c r="H107" s="428"/>
      <c r="I107" s="428"/>
      <c r="J107" s="428"/>
      <c r="K107" s="428"/>
      <c r="L107" s="469">
        <v>0</v>
      </c>
      <c r="M107" s="469"/>
      <c r="N107" s="470"/>
      <c r="O107" s="430"/>
      <c r="P107" s="418"/>
    </row>
    <row r="108" spans="1:16" s="419" customFormat="1" x14ac:dyDescent="0.3">
      <c r="A108" s="427"/>
      <c r="B108" s="428" t="s">
        <v>200</v>
      </c>
      <c r="C108" s="428"/>
      <c r="D108" s="428"/>
      <c r="E108" s="428"/>
      <c r="F108" s="428"/>
      <c r="G108" s="428"/>
      <c r="H108" s="428"/>
      <c r="I108" s="428"/>
      <c r="J108" s="428"/>
      <c r="K108" s="428"/>
      <c r="L108" s="469">
        <v>-1057</v>
      </c>
      <c r="M108" s="469"/>
      <c r="N108" s="470"/>
      <c r="O108" s="430"/>
      <c r="P108" s="418"/>
    </row>
    <row r="109" spans="1:16" s="419" customFormat="1" x14ac:dyDescent="0.3">
      <c r="A109" s="427"/>
      <c r="B109" s="428" t="s">
        <v>201</v>
      </c>
      <c r="C109" s="428"/>
      <c r="D109" s="428"/>
      <c r="E109" s="428"/>
      <c r="F109" s="428"/>
      <c r="G109" s="428"/>
      <c r="H109" s="428"/>
      <c r="I109" s="428"/>
      <c r="J109" s="428"/>
      <c r="K109" s="428"/>
      <c r="L109" s="469">
        <v>0</v>
      </c>
      <c r="M109" s="469"/>
      <c r="N109" s="470"/>
      <c r="O109" s="430"/>
      <c r="P109" s="418"/>
    </row>
    <row r="110" spans="1:16" s="419" customFormat="1" x14ac:dyDescent="0.3">
      <c r="A110" s="427"/>
      <c r="B110" s="428" t="s">
        <v>202</v>
      </c>
      <c r="C110" s="428"/>
      <c r="D110" s="428"/>
      <c r="E110" s="428"/>
      <c r="F110" s="428"/>
      <c r="G110" s="428"/>
      <c r="H110" s="428"/>
      <c r="I110" s="428"/>
      <c r="J110" s="428"/>
      <c r="K110" s="428"/>
      <c r="L110" s="469">
        <v>0</v>
      </c>
      <c r="M110" s="469"/>
      <c r="N110" s="470"/>
      <c r="O110" s="430"/>
      <c r="P110" s="418"/>
    </row>
    <row r="111" spans="1:16" s="419" customFormat="1" x14ac:dyDescent="0.3">
      <c r="A111" s="427"/>
      <c r="B111" s="428" t="s">
        <v>36</v>
      </c>
      <c r="C111" s="428"/>
      <c r="D111" s="428"/>
      <c r="E111" s="428"/>
      <c r="F111" s="428"/>
      <c r="G111" s="428"/>
      <c r="H111" s="428"/>
      <c r="I111" s="428"/>
      <c r="J111" s="428"/>
      <c r="K111" s="428"/>
      <c r="L111" s="469">
        <f>SUM(L106:L110)</f>
        <v>-1057</v>
      </c>
      <c r="M111" s="469"/>
      <c r="N111" s="469">
        <f>SUM(N88:N109)</f>
        <v>-214</v>
      </c>
      <c r="O111" s="430"/>
      <c r="P111" s="418"/>
    </row>
    <row r="112" spans="1:16" s="419" customFormat="1" x14ac:dyDescent="0.3">
      <c r="A112" s="427"/>
      <c r="B112" s="428" t="s">
        <v>37</v>
      </c>
      <c r="C112" s="428"/>
      <c r="D112" s="428"/>
      <c r="E112" s="428"/>
      <c r="F112" s="428"/>
      <c r="G112" s="428"/>
      <c r="H112" s="428"/>
      <c r="I112" s="428"/>
      <c r="J112" s="428"/>
      <c r="K112" s="428"/>
      <c r="L112" s="469">
        <f>L87+L111+L98</f>
        <v>0</v>
      </c>
      <c r="M112" s="469"/>
      <c r="N112" s="469">
        <f>N87+N111</f>
        <v>0</v>
      </c>
      <c r="O112" s="430"/>
      <c r="P112" s="418"/>
    </row>
    <row r="113" spans="1:17" s="419" customFormat="1" x14ac:dyDescent="0.3">
      <c r="A113" s="415"/>
      <c r="B113" s="458"/>
      <c r="C113" s="458"/>
      <c r="D113" s="458"/>
      <c r="E113" s="458"/>
      <c r="F113" s="458"/>
      <c r="G113" s="458"/>
      <c r="H113" s="458"/>
      <c r="I113" s="458"/>
      <c r="J113" s="458"/>
      <c r="K113" s="458"/>
      <c r="L113" s="484"/>
      <c r="M113" s="484"/>
      <c r="N113" s="484"/>
      <c r="O113" s="458"/>
      <c r="P113" s="418"/>
    </row>
    <row r="114" spans="1:17" s="419" customFormat="1" x14ac:dyDescent="0.3">
      <c r="A114" s="415"/>
      <c r="B114" s="416"/>
      <c r="C114" s="416"/>
      <c r="D114" s="416"/>
      <c r="E114" s="416"/>
      <c r="F114" s="416"/>
      <c r="G114" s="416"/>
      <c r="H114" s="416"/>
      <c r="I114" s="416"/>
      <c r="J114" s="416"/>
      <c r="K114" s="416"/>
      <c r="L114" s="416"/>
      <c r="M114" s="416"/>
      <c r="N114" s="485"/>
      <c r="O114" s="416"/>
      <c r="P114" s="418"/>
    </row>
    <row r="115" spans="1:17" s="419" customFormat="1" ht="18.600000000000001" thickBot="1" x14ac:dyDescent="0.4">
      <c r="A115" s="463"/>
      <c r="B115" s="464" t="str">
        <f>B52</f>
        <v>FF7 INVESTOR REPORT QUARTER ENDING FEBRUARY 2018</v>
      </c>
      <c r="C115" s="465"/>
      <c r="D115" s="465"/>
      <c r="E115" s="465"/>
      <c r="F115" s="465"/>
      <c r="G115" s="465"/>
      <c r="H115" s="465"/>
      <c r="I115" s="465"/>
      <c r="J115" s="465"/>
      <c r="K115" s="465"/>
      <c r="L115" s="465"/>
      <c r="M115" s="465"/>
      <c r="N115" s="486"/>
      <c r="O115" s="467"/>
      <c r="P115" s="418"/>
    </row>
    <row r="116" spans="1:17" x14ac:dyDescent="0.3">
      <c r="A116" s="603"/>
      <c r="B116" s="604" t="s">
        <v>38</v>
      </c>
      <c r="C116" s="605"/>
      <c r="D116" s="605"/>
      <c r="E116" s="605"/>
      <c r="F116" s="605"/>
      <c r="G116" s="605"/>
      <c r="H116" s="605"/>
      <c r="I116" s="605"/>
      <c r="J116" s="605"/>
      <c r="K116" s="605"/>
      <c r="L116" s="605"/>
      <c r="M116" s="605"/>
      <c r="N116" s="606"/>
      <c r="O116" s="605"/>
      <c r="P116" s="402"/>
    </row>
    <row r="117" spans="1:17" x14ac:dyDescent="0.3">
      <c r="A117" s="404"/>
      <c r="B117" s="487"/>
      <c r="C117" s="406"/>
      <c r="D117" s="406"/>
      <c r="E117" s="406"/>
      <c r="F117" s="406"/>
      <c r="G117" s="406"/>
      <c r="H117" s="406"/>
      <c r="I117" s="406"/>
      <c r="J117" s="406"/>
      <c r="K117" s="406"/>
      <c r="L117" s="406"/>
      <c r="M117" s="406"/>
      <c r="N117" s="468"/>
      <c r="O117" s="406"/>
      <c r="P117" s="402"/>
    </row>
    <row r="118" spans="1:17" x14ac:dyDescent="0.3">
      <c r="A118" s="404"/>
      <c r="B118" s="578" t="s">
        <v>39</v>
      </c>
      <c r="C118" s="406"/>
      <c r="D118" s="406"/>
      <c r="E118" s="406"/>
      <c r="F118" s="406"/>
      <c r="G118" s="406"/>
      <c r="H118" s="406"/>
      <c r="I118" s="406"/>
      <c r="J118" s="406"/>
      <c r="K118" s="406"/>
      <c r="L118" s="406"/>
      <c r="M118" s="406"/>
      <c r="N118" s="468"/>
      <c r="O118" s="406"/>
      <c r="P118" s="402"/>
    </row>
    <row r="119" spans="1:17" s="419" customFormat="1" x14ac:dyDescent="0.3">
      <c r="A119" s="427"/>
      <c r="B119" s="428" t="s">
        <v>40</v>
      </c>
      <c r="C119" s="428"/>
      <c r="D119" s="428"/>
      <c r="E119" s="428"/>
      <c r="F119" s="428"/>
      <c r="G119" s="428"/>
      <c r="H119" s="428"/>
      <c r="I119" s="428"/>
      <c r="J119" s="428"/>
      <c r="K119" s="428"/>
      <c r="L119" s="428"/>
      <c r="M119" s="428"/>
      <c r="N119" s="470">
        <f>N28*0.003</f>
        <v>805.80000000000007</v>
      </c>
      <c r="O119" s="430"/>
      <c r="P119" s="418"/>
    </row>
    <row r="120" spans="1:17" s="419" customFormat="1" x14ac:dyDescent="0.3">
      <c r="A120" s="427"/>
      <c r="B120" s="428" t="s">
        <v>41</v>
      </c>
      <c r="C120" s="428"/>
      <c r="D120" s="428"/>
      <c r="E120" s="428"/>
      <c r="F120" s="428"/>
      <c r="G120" s="428"/>
      <c r="H120" s="428"/>
      <c r="I120" s="428"/>
      <c r="J120" s="428"/>
      <c r="K120" s="428"/>
      <c r="L120" s="428"/>
      <c r="M120" s="428"/>
      <c r="N120" s="470">
        <v>806</v>
      </c>
      <c r="O120" s="430"/>
      <c r="P120" s="418"/>
    </row>
    <row r="121" spans="1:17" s="419" customFormat="1" x14ac:dyDescent="0.3">
      <c r="A121" s="427"/>
      <c r="B121" s="428" t="s">
        <v>132</v>
      </c>
      <c r="C121" s="428"/>
      <c r="D121" s="428"/>
      <c r="E121" s="428"/>
      <c r="F121" s="428"/>
      <c r="G121" s="428"/>
      <c r="H121" s="428"/>
      <c r="I121" s="428"/>
      <c r="J121" s="428"/>
      <c r="K121" s="428"/>
      <c r="L121" s="428"/>
      <c r="M121" s="428"/>
      <c r="N121" s="470">
        <v>0</v>
      </c>
      <c r="O121" s="430"/>
      <c r="P121" s="418"/>
    </row>
    <row r="122" spans="1:17" s="419" customFormat="1" x14ac:dyDescent="0.3">
      <c r="A122" s="427"/>
      <c r="B122" s="428" t="s">
        <v>221</v>
      </c>
      <c r="C122" s="428"/>
      <c r="D122" s="428"/>
      <c r="E122" s="428"/>
      <c r="F122" s="428"/>
      <c r="G122" s="428"/>
      <c r="H122" s="428"/>
      <c r="I122" s="428"/>
      <c r="J122" s="428"/>
      <c r="K122" s="428"/>
      <c r="L122" s="428"/>
      <c r="M122" s="428"/>
      <c r="N122" s="470">
        <v>0</v>
      </c>
      <c r="O122" s="430"/>
      <c r="P122" s="418"/>
    </row>
    <row r="123" spans="1:17" s="419" customFormat="1" x14ac:dyDescent="0.3">
      <c r="A123" s="427"/>
      <c r="B123" s="428" t="s">
        <v>222</v>
      </c>
      <c r="C123" s="428"/>
      <c r="D123" s="428"/>
      <c r="E123" s="428"/>
      <c r="F123" s="428"/>
      <c r="G123" s="428"/>
      <c r="H123" s="428"/>
      <c r="I123" s="428"/>
      <c r="J123" s="428"/>
      <c r="K123" s="428"/>
      <c r="L123" s="428"/>
      <c r="M123" s="428"/>
      <c r="N123" s="470">
        <v>0</v>
      </c>
      <c r="O123" s="430"/>
      <c r="P123" s="418"/>
    </row>
    <row r="124" spans="1:17" s="419" customFormat="1" x14ac:dyDescent="0.3">
      <c r="A124" s="427"/>
      <c r="B124" s="428" t="s">
        <v>223</v>
      </c>
      <c r="C124" s="428"/>
      <c r="D124" s="428"/>
      <c r="E124" s="428"/>
      <c r="F124" s="428"/>
      <c r="G124" s="428"/>
      <c r="H124" s="428"/>
      <c r="I124" s="428"/>
      <c r="J124" s="428"/>
      <c r="K124" s="428"/>
      <c r="L124" s="428"/>
      <c r="M124" s="428"/>
      <c r="N124" s="470">
        <v>0</v>
      </c>
      <c r="O124" s="430"/>
      <c r="P124" s="418"/>
    </row>
    <row r="125" spans="1:17" s="419" customFormat="1" x14ac:dyDescent="0.3">
      <c r="A125" s="427"/>
      <c r="B125" s="428" t="s">
        <v>42</v>
      </c>
      <c r="C125" s="428"/>
      <c r="D125" s="428"/>
      <c r="E125" s="428"/>
      <c r="F125" s="428"/>
      <c r="G125" s="428"/>
      <c r="H125" s="428"/>
      <c r="I125" s="428"/>
      <c r="J125" s="428"/>
      <c r="K125" s="428"/>
      <c r="L125" s="428"/>
      <c r="M125" s="428"/>
      <c r="N125" s="470">
        <v>0</v>
      </c>
      <c r="O125" s="430"/>
      <c r="P125" s="418"/>
    </row>
    <row r="126" spans="1:17" s="419" customFormat="1" x14ac:dyDescent="0.3">
      <c r="A126" s="427"/>
      <c r="B126" s="428" t="s">
        <v>125</v>
      </c>
      <c r="C126" s="428"/>
      <c r="D126" s="428"/>
      <c r="E126" s="428"/>
      <c r="F126" s="428"/>
      <c r="G126" s="428"/>
      <c r="H126" s="428"/>
      <c r="I126" s="428"/>
      <c r="J126" s="428"/>
      <c r="K126" s="428"/>
      <c r="L126" s="428"/>
      <c r="M126" s="428"/>
      <c r="N126" s="470">
        <v>0</v>
      </c>
      <c r="O126" s="430"/>
      <c r="P126" s="418"/>
    </row>
    <row r="127" spans="1:17" s="419" customFormat="1" x14ac:dyDescent="0.3">
      <c r="A127" s="427"/>
      <c r="B127" s="428" t="s">
        <v>225</v>
      </c>
      <c r="C127" s="428"/>
      <c r="D127" s="428"/>
      <c r="E127" s="428"/>
      <c r="F127" s="428"/>
      <c r="G127" s="428"/>
      <c r="H127" s="428"/>
      <c r="I127" s="428"/>
      <c r="J127" s="428"/>
      <c r="K127" s="428"/>
      <c r="L127" s="428"/>
      <c r="M127" s="428"/>
      <c r="N127" s="470">
        <v>0</v>
      </c>
      <c r="O127" s="430"/>
      <c r="P127" s="418"/>
      <c r="Q127" s="482"/>
    </row>
    <row r="128" spans="1:17" s="419" customFormat="1" x14ac:dyDescent="0.3">
      <c r="A128" s="427"/>
      <c r="B128" s="428" t="s">
        <v>43</v>
      </c>
      <c r="C128" s="428"/>
      <c r="D128" s="428"/>
      <c r="E128" s="428"/>
      <c r="F128" s="428"/>
      <c r="G128" s="428"/>
      <c r="H128" s="428"/>
      <c r="I128" s="428"/>
      <c r="J128" s="428"/>
      <c r="K128" s="428"/>
      <c r="L128" s="428"/>
      <c r="M128" s="428"/>
      <c r="N128" s="470">
        <f>SUM(N120:N127)</f>
        <v>806</v>
      </c>
      <c r="O128" s="430"/>
      <c r="P128" s="418"/>
    </row>
    <row r="129" spans="1:16" x14ac:dyDescent="0.3">
      <c r="A129" s="442"/>
      <c r="B129" s="443"/>
      <c r="C129" s="443"/>
      <c r="D129" s="443"/>
      <c r="E129" s="443"/>
      <c r="F129" s="443"/>
      <c r="G129" s="443"/>
      <c r="H129" s="443"/>
      <c r="I129" s="443"/>
      <c r="J129" s="443"/>
      <c r="K129" s="443"/>
      <c r="L129" s="443"/>
      <c r="M129" s="443"/>
      <c r="N129" s="481"/>
      <c r="O129" s="445"/>
      <c r="P129" s="402"/>
    </row>
    <row r="130" spans="1:16" x14ac:dyDescent="0.3">
      <c r="A130" s="442"/>
      <c r="B130" s="577" t="s">
        <v>179</v>
      </c>
      <c r="C130" s="443"/>
      <c r="D130" s="443"/>
      <c r="E130" s="443"/>
      <c r="F130" s="443"/>
      <c r="G130" s="443"/>
      <c r="H130" s="443"/>
      <c r="I130" s="443"/>
      <c r="J130" s="443"/>
      <c r="K130" s="443"/>
      <c r="L130" s="443"/>
      <c r="M130" s="443"/>
      <c r="N130" s="481"/>
      <c r="O130" s="445"/>
      <c r="P130" s="402"/>
    </row>
    <row r="131" spans="1:16" s="419" customFormat="1" x14ac:dyDescent="0.3">
      <c r="A131" s="427"/>
      <c r="B131" s="428" t="s">
        <v>144</v>
      </c>
      <c r="C131" s="428"/>
      <c r="D131" s="428"/>
      <c r="E131" s="428"/>
      <c r="F131" s="428"/>
      <c r="G131" s="428"/>
      <c r="H131" s="428"/>
      <c r="I131" s="428"/>
      <c r="J131" s="428"/>
      <c r="K131" s="428"/>
      <c r="L131" s="428"/>
      <c r="M131" s="428"/>
      <c r="N131" s="470">
        <v>7098</v>
      </c>
      <c r="O131" s="430"/>
      <c r="P131" s="418"/>
    </row>
    <row r="132" spans="1:16" s="419" customFormat="1" x14ac:dyDescent="0.3">
      <c r="A132" s="427"/>
      <c r="B132" s="428" t="s">
        <v>159</v>
      </c>
      <c r="C132" s="428"/>
      <c r="D132" s="428"/>
      <c r="E132" s="428"/>
      <c r="F132" s="428"/>
      <c r="G132" s="428"/>
      <c r="H132" s="428"/>
      <c r="I132" s="428"/>
      <c r="J132" s="428"/>
      <c r="K132" s="428"/>
      <c r="L132" s="428"/>
      <c r="M132" s="428"/>
      <c r="N132" s="470">
        <v>0</v>
      </c>
      <c r="O132" s="430"/>
      <c r="P132" s="418"/>
    </row>
    <row r="133" spans="1:16" s="419" customFormat="1" x14ac:dyDescent="0.3">
      <c r="A133" s="427"/>
      <c r="B133" s="428" t="s">
        <v>278</v>
      </c>
      <c r="C133" s="428"/>
      <c r="D133" s="428"/>
      <c r="E133" s="428"/>
      <c r="F133" s="428"/>
      <c r="G133" s="428"/>
      <c r="H133" s="428"/>
      <c r="I133" s="428"/>
      <c r="J133" s="428"/>
      <c r="K133" s="428"/>
      <c r="L133" s="428"/>
      <c r="M133" s="428"/>
      <c r="N133" s="470">
        <v>0</v>
      </c>
      <c r="O133" s="430"/>
      <c r="P133" s="418"/>
    </row>
    <row r="134" spans="1:16" x14ac:dyDescent="0.3">
      <c r="A134" s="442"/>
      <c r="B134" s="443"/>
      <c r="C134" s="443"/>
      <c r="D134" s="443"/>
      <c r="E134" s="443"/>
      <c r="F134" s="443"/>
      <c r="G134" s="443"/>
      <c r="H134" s="443"/>
      <c r="I134" s="443"/>
      <c r="J134" s="443"/>
      <c r="K134" s="443"/>
      <c r="L134" s="443"/>
      <c r="M134" s="443"/>
      <c r="N134" s="481"/>
      <c r="O134" s="445"/>
      <c r="P134" s="402"/>
    </row>
    <row r="135" spans="1:16" x14ac:dyDescent="0.3">
      <c r="A135" s="404"/>
      <c r="B135" s="471"/>
      <c r="C135" s="471"/>
      <c r="D135" s="471"/>
      <c r="E135" s="471"/>
      <c r="F135" s="471"/>
      <c r="G135" s="471"/>
      <c r="H135" s="471"/>
      <c r="I135" s="471"/>
      <c r="J135" s="471"/>
      <c r="K135" s="471"/>
      <c r="L135" s="471"/>
      <c r="M135" s="471"/>
      <c r="N135" s="488"/>
      <c r="O135" s="471"/>
      <c r="P135" s="402"/>
    </row>
    <row r="136" spans="1:16" x14ac:dyDescent="0.3">
      <c r="A136" s="404"/>
      <c r="B136" s="578" t="s">
        <v>22</v>
      </c>
      <c r="C136" s="406"/>
      <c r="D136" s="406"/>
      <c r="E136" s="406"/>
      <c r="F136" s="406"/>
      <c r="G136" s="406"/>
      <c r="H136" s="406"/>
      <c r="I136" s="406"/>
      <c r="J136" s="406"/>
      <c r="K136" s="406"/>
      <c r="L136" s="406"/>
      <c r="M136" s="406"/>
      <c r="N136" s="468"/>
      <c r="O136" s="406"/>
      <c r="P136" s="402"/>
    </row>
    <row r="137" spans="1:16" s="419" customFormat="1" x14ac:dyDescent="0.3">
      <c r="A137" s="427"/>
      <c r="B137" s="428" t="s">
        <v>44</v>
      </c>
      <c r="C137" s="428"/>
      <c r="D137" s="428"/>
      <c r="E137" s="428"/>
      <c r="F137" s="428"/>
      <c r="G137" s="428"/>
      <c r="H137" s="428"/>
      <c r="I137" s="428"/>
      <c r="J137" s="428"/>
      <c r="K137" s="428"/>
      <c r="L137" s="428"/>
      <c r="M137" s="428"/>
      <c r="N137" s="489" t="s">
        <v>117</v>
      </c>
      <c r="O137" s="430"/>
      <c r="P137" s="418"/>
    </row>
    <row r="138" spans="1:16" s="419" customFormat="1" x14ac:dyDescent="0.3">
      <c r="A138" s="427"/>
      <c r="B138" s="428" t="s">
        <v>45</v>
      </c>
      <c r="C138" s="428"/>
      <c r="D138" s="428"/>
      <c r="E138" s="428"/>
      <c r="F138" s="428"/>
      <c r="G138" s="428"/>
      <c r="H138" s="428"/>
      <c r="I138" s="428"/>
      <c r="J138" s="428"/>
      <c r="K138" s="428"/>
      <c r="L138" s="428"/>
      <c r="M138" s="428"/>
      <c r="N138" s="489" t="s">
        <v>117</v>
      </c>
      <c r="O138" s="430"/>
      <c r="P138" s="418"/>
    </row>
    <row r="139" spans="1:16" s="419" customFormat="1" x14ac:dyDescent="0.3">
      <c r="A139" s="427"/>
      <c r="B139" s="428" t="s">
        <v>46</v>
      </c>
      <c r="C139" s="428"/>
      <c r="D139" s="428"/>
      <c r="E139" s="428"/>
      <c r="F139" s="428"/>
      <c r="G139" s="428"/>
      <c r="H139" s="428"/>
      <c r="I139" s="428"/>
      <c r="J139" s="428"/>
      <c r="K139" s="428"/>
      <c r="L139" s="428"/>
      <c r="M139" s="428"/>
      <c r="N139" s="489" t="s">
        <v>117</v>
      </c>
      <c r="O139" s="430"/>
      <c r="P139" s="418"/>
    </row>
    <row r="140" spans="1:16" s="419" customFormat="1" x14ac:dyDescent="0.3">
      <c r="A140" s="427"/>
      <c r="B140" s="428" t="s">
        <v>47</v>
      </c>
      <c r="C140" s="428"/>
      <c r="D140" s="428"/>
      <c r="E140" s="428"/>
      <c r="F140" s="428"/>
      <c r="G140" s="428"/>
      <c r="H140" s="428"/>
      <c r="I140" s="428"/>
      <c r="J140" s="428"/>
      <c r="K140" s="428"/>
      <c r="L140" s="428"/>
      <c r="M140" s="428"/>
      <c r="N140" s="489" t="s">
        <v>117</v>
      </c>
      <c r="O140" s="430"/>
      <c r="P140" s="418"/>
    </row>
    <row r="141" spans="1:16" x14ac:dyDescent="0.3">
      <c r="A141" s="404"/>
      <c r="B141" s="471"/>
      <c r="C141" s="471"/>
      <c r="D141" s="471"/>
      <c r="E141" s="471"/>
      <c r="F141" s="471"/>
      <c r="G141" s="471"/>
      <c r="H141" s="471"/>
      <c r="I141" s="471"/>
      <c r="J141" s="471"/>
      <c r="K141" s="471"/>
      <c r="L141" s="471"/>
      <c r="M141" s="471"/>
      <c r="N141" s="488"/>
      <c r="O141" s="471"/>
      <c r="P141" s="402"/>
    </row>
    <row r="142" spans="1:16" x14ac:dyDescent="0.3">
      <c r="A142" s="404"/>
      <c r="B142" s="578" t="s">
        <v>48</v>
      </c>
      <c r="C142" s="406"/>
      <c r="D142" s="406"/>
      <c r="E142" s="406"/>
      <c r="F142" s="406"/>
      <c r="G142" s="406"/>
      <c r="H142" s="406"/>
      <c r="I142" s="406"/>
      <c r="J142" s="406"/>
      <c r="K142" s="406"/>
      <c r="L142" s="406"/>
      <c r="M142" s="406"/>
      <c r="N142" s="490"/>
      <c r="O142" s="406"/>
      <c r="P142" s="402"/>
    </row>
    <row r="143" spans="1:16" s="419" customFormat="1" x14ac:dyDescent="0.3">
      <c r="A143" s="427"/>
      <c r="B143" s="428" t="s">
        <v>49</v>
      </c>
      <c r="C143" s="428"/>
      <c r="D143" s="428"/>
      <c r="E143" s="428"/>
      <c r="F143" s="428"/>
      <c r="G143" s="428"/>
      <c r="H143" s="428"/>
      <c r="I143" s="428"/>
      <c r="J143" s="428"/>
      <c r="K143" s="428"/>
      <c r="L143" s="428"/>
      <c r="M143" s="428"/>
      <c r="N143" s="470">
        <v>0</v>
      </c>
      <c r="O143" s="430"/>
      <c r="P143" s="418"/>
    </row>
    <row r="144" spans="1:16" s="419" customFormat="1" x14ac:dyDescent="0.3">
      <c r="A144" s="427"/>
      <c r="B144" s="428" t="s">
        <v>50</v>
      </c>
      <c r="C144" s="428"/>
      <c r="D144" s="428"/>
      <c r="E144" s="428"/>
      <c r="F144" s="428"/>
      <c r="G144" s="428"/>
      <c r="H144" s="428"/>
      <c r="I144" s="428"/>
      <c r="J144" s="428"/>
      <c r="K144" s="428"/>
      <c r="L144" s="428"/>
      <c r="M144" s="428"/>
      <c r="N144" s="470">
        <v>0</v>
      </c>
      <c r="O144" s="430"/>
      <c r="P144" s="418"/>
    </row>
    <row r="145" spans="1:256" s="419" customFormat="1" x14ac:dyDescent="0.3">
      <c r="A145" s="427"/>
      <c r="B145" s="428" t="s">
        <v>51</v>
      </c>
      <c r="C145" s="428"/>
      <c r="D145" s="428"/>
      <c r="E145" s="428"/>
      <c r="F145" s="428"/>
      <c r="G145" s="428"/>
      <c r="H145" s="428"/>
      <c r="I145" s="428"/>
      <c r="J145" s="428"/>
      <c r="K145" s="428"/>
      <c r="L145" s="428"/>
      <c r="M145" s="428"/>
      <c r="N145" s="470">
        <f>+N143+N144</f>
        <v>0</v>
      </c>
      <c r="O145" s="430"/>
      <c r="P145" s="418"/>
    </row>
    <row r="146" spans="1:256" s="419" customFormat="1" x14ac:dyDescent="0.3">
      <c r="A146" s="427"/>
      <c r="B146" s="428" t="s">
        <v>264</v>
      </c>
      <c r="C146" s="428"/>
      <c r="D146" s="428"/>
      <c r="E146" s="428"/>
      <c r="F146" s="428"/>
      <c r="G146" s="428"/>
      <c r="H146" s="428"/>
      <c r="I146" s="428"/>
      <c r="J146" s="428"/>
      <c r="K146" s="428"/>
      <c r="L146" s="428"/>
      <c r="M146" s="428"/>
      <c r="N146" s="470">
        <f>N98</f>
        <v>0</v>
      </c>
      <c r="O146" s="430"/>
      <c r="P146" s="418"/>
    </row>
    <row r="147" spans="1:256" s="419" customFormat="1" x14ac:dyDescent="0.3">
      <c r="A147" s="427"/>
      <c r="B147" s="428" t="s">
        <v>52</v>
      </c>
      <c r="C147" s="428"/>
      <c r="D147" s="428"/>
      <c r="E147" s="428"/>
      <c r="F147" s="428"/>
      <c r="G147" s="428"/>
      <c r="H147" s="428"/>
      <c r="I147" s="428"/>
      <c r="J147" s="428"/>
      <c r="K147" s="428"/>
      <c r="L147" s="428"/>
      <c r="M147" s="428"/>
      <c r="N147" s="470">
        <f>N145+N146</f>
        <v>0</v>
      </c>
      <c r="O147" s="430"/>
      <c r="P147" s="418"/>
    </row>
    <row r="148" spans="1:256" ht="16.2" thickBot="1" x14ac:dyDescent="0.35">
      <c r="A148" s="404"/>
      <c r="B148" s="471"/>
      <c r="C148" s="471"/>
      <c r="D148" s="471"/>
      <c r="E148" s="471"/>
      <c r="F148" s="471"/>
      <c r="G148" s="471"/>
      <c r="H148" s="471"/>
      <c r="I148" s="471"/>
      <c r="J148" s="471"/>
      <c r="K148" s="471"/>
      <c r="L148" s="471"/>
      <c r="M148" s="471"/>
      <c r="N148" s="488"/>
      <c r="O148" s="471"/>
      <c r="P148" s="402"/>
    </row>
    <row r="149" spans="1:256" x14ac:dyDescent="0.3">
      <c r="A149" s="399"/>
      <c r="B149" s="401"/>
      <c r="C149" s="401"/>
      <c r="D149" s="401"/>
      <c r="E149" s="401"/>
      <c r="F149" s="401"/>
      <c r="G149" s="401"/>
      <c r="H149" s="401"/>
      <c r="I149" s="401"/>
      <c r="J149" s="401"/>
      <c r="K149" s="401"/>
      <c r="L149" s="401"/>
      <c r="M149" s="401"/>
      <c r="N149" s="491"/>
      <c r="O149" s="401"/>
      <c r="P149" s="402"/>
    </row>
    <row r="150" spans="1:256" x14ac:dyDescent="0.3">
      <c r="A150" s="404"/>
      <c r="B150" s="578" t="s">
        <v>53</v>
      </c>
      <c r="C150" s="406"/>
      <c r="D150" s="406"/>
      <c r="E150" s="406"/>
      <c r="F150" s="406"/>
      <c r="G150" s="406"/>
      <c r="H150" s="406"/>
      <c r="I150" s="406"/>
      <c r="J150" s="406"/>
      <c r="K150" s="406"/>
      <c r="L150" s="406"/>
      <c r="M150" s="406"/>
      <c r="N150" s="468"/>
      <c r="O150" s="406"/>
      <c r="P150" s="402"/>
    </row>
    <row r="151" spans="1:256" x14ac:dyDescent="0.3">
      <c r="A151" s="404"/>
      <c r="B151" s="487"/>
      <c r="C151" s="406"/>
      <c r="D151" s="406"/>
      <c r="E151" s="406"/>
      <c r="F151" s="406"/>
      <c r="G151" s="406"/>
      <c r="H151" s="406"/>
      <c r="I151" s="406"/>
      <c r="J151" s="406"/>
      <c r="K151" s="406"/>
      <c r="L151" s="406"/>
      <c r="M151" s="406"/>
      <c r="N151" s="468"/>
      <c r="O151" s="406"/>
      <c r="P151" s="402"/>
    </row>
    <row r="152" spans="1:256" s="419" customFormat="1" x14ac:dyDescent="0.3">
      <c r="A152" s="427"/>
      <c r="B152" s="428" t="s">
        <v>234</v>
      </c>
      <c r="C152" s="428"/>
      <c r="D152" s="428"/>
      <c r="E152" s="428"/>
      <c r="F152" s="428"/>
      <c r="G152" s="428"/>
      <c r="H152" s="428"/>
      <c r="I152" s="428"/>
      <c r="J152" s="428"/>
      <c r="K152" s="428"/>
      <c r="L152" s="428"/>
      <c r="M152" s="428"/>
      <c r="N152" s="470">
        <f>N56</f>
        <v>13785</v>
      </c>
      <c r="O152" s="430"/>
      <c r="P152" s="418"/>
      <c r="Q152" s="482"/>
    </row>
    <row r="153" spans="1:256" s="419" customFormat="1" x14ac:dyDescent="0.3">
      <c r="A153" s="427"/>
      <c r="B153" s="428" t="s">
        <v>54</v>
      </c>
      <c r="C153" s="428"/>
      <c r="D153" s="428"/>
      <c r="E153" s="428"/>
      <c r="F153" s="428"/>
      <c r="G153" s="428"/>
      <c r="H153" s="428"/>
      <c r="I153" s="428"/>
      <c r="J153" s="428"/>
      <c r="K153" s="428"/>
      <c r="L153" s="428"/>
      <c r="M153" s="428"/>
      <c r="N153" s="470">
        <f>N72</f>
        <v>13785</v>
      </c>
      <c r="O153" s="430"/>
      <c r="P153" s="418"/>
    </row>
    <row r="154" spans="1:256" ht="16.2" thickBot="1" x14ac:dyDescent="0.35">
      <c r="A154" s="404"/>
      <c r="B154" s="471"/>
      <c r="C154" s="471"/>
      <c r="D154" s="471"/>
      <c r="E154" s="471"/>
      <c r="F154" s="471"/>
      <c r="G154" s="471"/>
      <c r="H154" s="471"/>
      <c r="I154" s="471"/>
      <c r="J154" s="471"/>
      <c r="K154" s="471"/>
      <c r="L154" s="471"/>
      <c r="M154" s="471"/>
      <c r="N154" s="488"/>
      <c r="O154" s="471"/>
      <c r="P154" s="402"/>
    </row>
    <row r="155" spans="1:256" s="492" customFormat="1" x14ac:dyDescent="0.3">
      <c r="A155" s="399"/>
      <c r="B155" s="401"/>
      <c r="C155" s="401"/>
      <c r="D155" s="401"/>
      <c r="E155" s="401"/>
      <c r="F155" s="401"/>
      <c r="G155" s="401"/>
      <c r="H155" s="401"/>
      <c r="I155" s="401"/>
      <c r="J155" s="401"/>
      <c r="K155" s="401"/>
      <c r="L155" s="401"/>
      <c r="M155" s="401"/>
      <c r="N155" s="491"/>
      <c r="O155" s="401"/>
      <c r="P155" s="402"/>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c r="AN155" s="403"/>
      <c r="AO155" s="403"/>
      <c r="AP155" s="403"/>
      <c r="AQ155" s="403"/>
      <c r="AR155" s="403"/>
      <c r="AS155" s="403"/>
      <c r="AT155" s="403"/>
      <c r="AU155" s="403"/>
      <c r="AV155" s="403"/>
      <c r="AW155" s="403"/>
      <c r="AX155" s="403"/>
      <c r="AY155" s="403"/>
      <c r="AZ155" s="403"/>
      <c r="BA155" s="403"/>
      <c r="BB155" s="403"/>
      <c r="BC155" s="403"/>
      <c r="BD155" s="403"/>
      <c r="BE155" s="403"/>
      <c r="BF155" s="403"/>
      <c r="BG155" s="403"/>
      <c r="BH155" s="403"/>
      <c r="BI155" s="403"/>
      <c r="BJ155" s="403"/>
      <c r="BK155" s="403"/>
      <c r="BL155" s="403"/>
      <c r="BM155" s="403"/>
      <c r="BN155" s="403"/>
      <c r="BO155" s="403"/>
      <c r="BP155" s="403"/>
      <c r="BQ155" s="403"/>
      <c r="BR155" s="403"/>
      <c r="BS155" s="403"/>
      <c r="BT155" s="403"/>
      <c r="BU155" s="403"/>
      <c r="BV155" s="403"/>
      <c r="BW155" s="403"/>
      <c r="BX155" s="403"/>
      <c r="BY155" s="403"/>
      <c r="BZ155" s="403"/>
      <c r="CA155" s="403"/>
      <c r="CB155" s="403"/>
      <c r="CC155" s="403"/>
      <c r="CD155" s="403"/>
      <c r="CE155" s="403"/>
      <c r="CF155" s="403"/>
      <c r="CG155" s="403"/>
      <c r="CH155" s="403"/>
      <c r="CI155" s="403"/>
      <c r="CJ155" s="403"/>
      <c r="CK155" s="403"/>
      <c r="CL155" s="403"/>
      <c r="CM155" s="403"/>
      <c r="CN155" s="403"/>
      <c r="CO155" s="403"/>
      <c r="CP155" s="403"/>
      <c r="CQ155" s="403"/>
      <c r="CR155" s="403"/>
      <c r="CS155" s="403"/>
      <c r="CT155" s="403"/>
      <c r="CU155" s="403"/>
      <c r="CV155" s="403"/>
      <c r="CW155" s="403"/>
      <c r="CX155" s="403"/>
      <c r="CY155" s="403"/>
      <c r="CZ155" s="403"/>
      <c r="DA155" s="403"/>
      <c r="DB155" s="403"/>
      <c r="DC155" s="403"/>
      <c r="DD155" s="403"/>
      <c r="DE155" s="403"/>
      <c r="DF155" s="403"/>
      <c r="DG155" s="403"/>
      <c r="DH155" s="403"/>
      <c r="DI155" s="403"/>
      <c r="DJ155" s="403"/>
      <c r="DK155" s="403"/>
      <c r="DL155" s="403"/>
      <c r="DM155" s="403"/>
      <c r="DN155" s="403"/>
      <c r="DO155" s="403"/>
      <c r="DP155" s="403"/>
      <c r="DQ155" s="403"/>
      <c r="DR155" s="403"/>
      <c r="DS155" s="403"/>
      <c r="DT155" s="403"/>
      <c r="DU155" s="403"/>
      <c r="DV155" s="403"/>
      <c r="DW155" s="403"/>
      <c r="DX155" s="403"/>
      <c r="DY155" s="403"/>
      <c r="DZ155" s="403"/>
      <c r="EA155" s="403"/>
      <c r="EB155" s="403"/>
      <c r="EC155" s="403"/>
      <c r="ED155" s="403"/>
      <c r="EE155" s="403"/>
      <c r="EF155" s="403"/>
      <c r="EG155" s="403"/>
      <c r="EH155" s="403"/>
      <c r="EI155" s="403"/>
      <c r="EJ155" s="403"/>
      <c r="EK155" s="403"/>
      <c r="EL155" s="403"/>
      <c r="EM155" s="403"/>
      <c r="EN155" s="403"/>
      <c r="EO155" s="403"/>
      <c r="EP155" s="403"/>
      <c r="EQ155" s="403"/>
      <c r="ER155" s="403"/>
      <c r="ES155" s="403"/>
      <c r="ET155" s="403"/>
      <c r="EU155" s="403"/>
      <c r="EV155" s="403"/>
      <c r="EW155" s="403"/>
      <c r="EX155" s="403"/>
      <c r="EY155" s="403"/>
      <c r="EZ155" s="403"/>
      <c r="FA155" s="403"/>
      <c r="FB155" s="403"/>
      <c r="FC155" s="403"/>
      <c r="FD155" s="403"/>
      <c r="FE155" s="403"/>
      <c r="FF155" s="403"/>
      <c r="FG155" s="403"/>
      <c r="FH155" s="403"/>
      <c r="FI155" s="403"/>
      <c r="FJ155" s="403"/>
      <c r="FK155" s="403"/>
      <c r="FL155" s="403"/>
      <c r="FM155" s="403"/>
      <c r="FN155" s="403"/>
      <c r="FO155" s="403"/>
      <c r="FP155" s="403"/>
      <c r="FQ155" s="403"/>
      <c r="FR155" s="403"/>
      <c r="FS155" s="403"/>
      <c r="FT155" s="403"/>
      <c r="FU155" s="403"/>
      <c r="FV155" s="403"/>
      <c r="FW155" s="403"/>
      <c r="FX155" s="403"/>
      <c r="FY155" s="403"/>
      <c r="FZ155" s="403"/>
      <c r="GA155" s="403"/>
      <c r="GB155" s="403"/>
      <c r="GC155" s="403"/>
      <c r="GD155" s="403"/>
      <c r="GE155" s="403"/>
      <c r="GF155" s="403"/>
      <c r="GG155" s="403"/>
      <c r="GH155" s="403"/>
      <c r="GI155" s="403"/>
      <c r="GJ155" s="403"/>
      <c r="GK155" s="403"/>
      <c r="GL155" s="403"/>
      <c r="GM155" s="403"/>
      <c r="GN155" s="403"/>
      <c r="GO155" s="403"/>
      <c r="GP155" s="403"/>
      <c r="GQ155" s="403"/>
      <c r="GR155" s="403"/>
      <c r="GS155" s="403"/>
      <c r="GT155" s="403"/>
      <c r="GU155" s="403"/>
      <c r="GV155" s="403"/>
      <c r="GW155" s="403"/>
      <c r="GX155" s="403"/>
      <c r="GY155" s="403"/>
      <c r="GZ155" s="403"/>
      <c r="HA155" s="403"/>
      <c r="HB155" s="403"/>
      <c r="HC155" s="403"/>
      <c r="HD155" s="403"/>
      <c r="HE155" s="403"/>
      <c r="HF155" s="403"/>
      <c r="HG155" s="403"/>
      <c r="HH155" s="403"/>
      <c r="HI155" s="403"/>
      <c r="HJ155" s="403"/>
      <c r="HK155" s="403"/>
      <c r="HL155" s="403"/>
      <c r="HM155" s="403"/>
      <c r="HN155" s="403"/>
      <c r="HO155" s="403"/>
      <c r="HP155" s="403"/>
      <c r="HQ155" s="403"/>
      <c r="HR155" s="403"/>
      <c r="HS155" s="403"/>
      <c r="HT155" s="403"/>
      <c r="HU155" s="403"/>
      <c r="HV155" s="403"/>
      <c r="HW155" s="403"/>
      <c r="HX155" s="403"/>
      <c r="HY155" s="403"/>
      <c r="HZ155" s="403"/>
      <c r="IA155" s="403"/>
      <c r="IB155" s="403"/>
      <c r="IC155" s="403"/>
      <c r="ID155" s="403"/>
      <c r="IE155" s="403"/>
      <c r="IF155" s="403"/>
      <c r="IG155" s="403"/>
      <c r="IH155" s="403"/>
      <c r="II155" s="403"/>
      <c r="IJ155" s="403"/>
      <c r="IK155" s="403"/>
      <c r="IL155" s="403"/>
      <c r="IM155" s="403"/>
      <c r="IN155" s="403"/>
      <c r="IO155" s="403"/>
      <c r="IP155" s="403"/>
      <c r="IQ155" s="403"/>
      <c r="IR155" s="403"/>
      <c r="IS155" s="403"/>
      <c r="IT155" s="403"/>
      <c r="IU155" s="403"/>
      <c r="IV155" s="403"/>
    </row>
    <row r="156" spans="1:256" s="493" customFormat="1" x14ac:dyDescent="0.3">
      <c r="A156" s="404"/>
      <c r="B156" s="579" t="s">
        <v>205</v>
      </c>
      <c r="C156" s="471"/>
      <c r="D156" s="471"/>
      <c r="E156" s="471"/>
      <c r="F156" s="471"/>
      <c r="G156" s="471"/>
      <c r="H156" s="471"/>
      <c r="I156" s="471"/>
      <c r="J156" s="471"/>
      <c r="K156" s="471"/>
      <c r="L156" s="471"/>
      <c r="M156" s="471"/>
      <c r="N156" s="488"/>
      <c r="O156" s="471"/>
      <c r="P156" s="402"/>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c r="BM156" s="403"/>
      <c r="BN156" s="403"/>
      <c r="BO156" s="403"/>
      <c r="BP156" s="403"/>
      <c r="BQ156" s="403"/>
      <c r="BR156" s="403"/>
      <c r="BS156" s="403"/>
      <c r="BT156" s="403"/>
      <c r="BU156" s="403"/>
      <c r="BV156" s="403"/>
      <c r="BW156" s="403"/>
      <c r="BX156" s="403"/>
      <c r="BY156" s="403"/>
      <c r="BZ156" s="403"/>
      <c r="CA156" s="403"/>
      <c r="CB156" s="403"/>
      <c r="CC156" s="403"/>
      <c r="CD156" s="403"/>
      <c r="CE156" s="403"/>
      <c r="CF156" s="403"/>
      <c r="CG156" s="403"/>
      <c r="CH156" s="403"/>
      <c r="CI156" s="403"/>
      <c r="CJ156" s="403"/>
      <c r="CK156" s="403"/>
      <c r="CL156" s="403"/>
      <c r="CM156" s="403"/>
      <c r="CN156" s="403"/>
      <c r="CO156" s="403"/>
      <c r="CP156" s="403"/>
      <c r="CQ156" s="403"/>
      <c r="CR156" s="403"/>
      <c r="CS156" s="403"/>
      <c r="CT156" s="403"/>
      <c r="CU156" s="403"/>
      <c r="CV156" s="403"/>
      <c r="CW156" s="403"/>
      <c r="CX156" s="403"/>
      <c r="CY156" s="403"/>
      <c r="CZ156" s="403"/>
      <c r="DA156" s="403"/>
      <c r="DB156" s="403"/>
      <c r="DC156" s="403"/>
      <c r="DD156" s="403"/>
      <c r="DE156" s="403"/>
      <c r="DF156" s="403"/>
      <c r="DG156" s="403"/>
      <c r="DH156" s="403"/>
      <c r="DI156" s="403"/>
      <c r="DJ156" s="403"/>
      <c r="DK156" s="403"/>
      <c r="DL156" s="403"/>
      <c r="DM156" s="403"/>
      <c r="DN156" s="403"/>
      <c r="DO156" s="403"/>
      <c r="DP156" s="403"/>
      <c r="DQ156" s="403"/>
      <c r="DR156" s="403"/>
      <c r="DS156" s="403"/>
      <c r="DT156" s="403"/>
      <c r="DU156" s="403"/>
      <c r="DV156" s="403"/>
      <c r="DW156" s="403"/>
      <c r="DX156" s="403"/>
      <c r="DY156" s="403"/>
      <c r="DZ156" s="403"/>
      <c r="EA156" s="403"/>
      <c r="EB156" s="403"/>
      <c r="EC156" s="403"/>
      <c r="ED156" s="403"/>
      <c r="EE156" s="403"/>
      <c r="EF156" s="403"/>
      <c r="EG156" s="403"/>
      <c r="EH156" s="403"/>
      <c r="EI156" s="403"/>
      <c r="EJ156" s="403"/>
      <c r="EK156" s="403"/>
      <c r="EL156" s="403"/>
      <c r="EM156" s="403"/>
      <c r="EN156" s="403"/>
      <c r="EO156" s="403"/>
      <c r="EP156" s="403"/>
      <c r="EQ156" s="403"/>
      <c r="ER156" s="403"/>
      <c r="ES156" s="403"/>
      <c r="ET156" s="403"/>
      <c r="EU156" s="403"/>
      <c r="EV156" s="403"/>
      <c r="EW156" s="403"/>
      <c r="EX156" s="403"/>
      <c r="EY156" s="403"/>
      <c r="EZ156" s="403"/>
      <c r="FA156" s="403"/>
      <c r="FB156" s="403"/>
      <c r="FC156" s="403"/>
      <c r="FD156" s="403"/>
      <c r="FE156" s="403"/>
      <c r="FF156" s="403"/>
      <c r="FG156" s="403"/>
      <c r="FH156" s="403"/>
      <c r="FI156" s="403"/>
      <c r="FJ156" s="403"/>
      <c r="FK156" s="403"/>
      <c r="FL156" s="403"/>
      <c r="FM156" s="403"/>
      <c r="FN156" s="403"/>
      <c r="FO156" s="403"/>
      <c r="FP156" s="403"/>
      <c r="FQ156" s="403"/>
      <c r="FR156" s="403"/>
      <c r="FS156" s="403"/>
      <c r="FT156" s="403"/>
      <c r="FU156" s="403"/>
      <c r="FV156" s="403"/>
      <c r="FW156" s="403"/>
      <c r="FX156" s="403"/>
      <c r="FY156" s="403"/>
      <c r="FZ156" s="403"/>
      <c r="GA156" s="403"/>
      <c r="GB156" s="403"/>
      <c r="GC156" s="403"/>
      <c r="GD156" s="403"/>
      <c r="GE156" s="403"/>
      <c r="GF156" s="403"/>
      <c r="GG156" s="403"/>
      <c r="GH156" s="403"/>
      <c r="GI156" s="403"/>
      <c r="GJ156" s="403"/>
      <c r="GK156" s="403"/>
      <c r="GL156" s="403"/>
      <c r="GM156" s="403"/>
      <c r="GN156" s="403"/>
      <c r="GO156" s="403"/>
      <c r="GP156" s="403"/>
      <c r="GQ156" s="403"/>
      <c r="GR156" s="403"/>
      <c r="GS156" s="403"/>
      <c r="GT156" s="403"/>
      <c r="GU156" s="403"/>
      <c r="GV156" s="403"/>
      <c r="GW156" s="403"/>
      <c r="GX156" s="403"/>
      <c r="GY156" s="403"/>
      <c r="GZ156" s="403"/>
      <c r="HA156" s="403"/>
      <c r="HB156" s="403"/>
      <c r="HC156" s="403"/>
      <c r="HD156" s="403"/>
      <c r="HE156" s="403"/>
      <c r="HF156" s="403"/>
      <c r="HG156" s="403"/>
      <c r="HH156" s="403"/>
      <c r="HI156" s="403"/>
      <c r="HJ156" s="403"/>
      <c r="HK156" s="403"/>
      <c r="HL156" s="403"/>
      <c r="HM156" s="403"/>
      <c r="HN156" s="403"/>
      <c r="HO156" s="403"/>
      <c r="HP156" s="403"/>
      <c r="HQ156" s="403"/>
      <c r="HR156" s="403"/>
      <c r="HS156" s="403"/>
      <c r="HT156" s="403"/>
      <c r="HU156" s="403"/>
      <c r="HV156" s="403"/>
      <c r="HW156" s="403"/>
      <c r="HX156" s="403"/>
      <c r="HY156" s="403"/>
      <c r="HZ156" s="403"/>
      <c r="IA156" s="403"/>
      <c r="IB156" s="403"/>
      <c r="IC156" s="403"/>
      <c r="ID156" s="403"/>
      <c r="IE156" s="403"/>
      <c r="IF156" s="403"/>
      <c r="IG156" s="403"/>
      <c r="IH156" s="403"/>
      <c r="II156" s="403"/>
      <c r="IJ156" s="403"/>
      <c r="IK156" s="403"/>
      <c r="IL156" s="403"/>
      <c r="IM156" s="403"/>
      <c r="IN156" s="403"/>
      <c r="IO156" s="403"/>
      <c r="IP156" s="403"/>
      <c r="IQ156" s="403"/>
      <c r="IR156" s="403"/>
      <c r="IS156" s="403"/>
      <c r="IT156" s="403"/>
      <c r="IU156" s="403"/>
      <c r="IV156" s="403"/>
    </row>
    <row r="157" spans="1:256" x14ac:dyDescent="0.3">
      <c r="A157" s="404"/>
      <c r="B157" s="471"/>
      <c r="C157" s="471"/>
      <c r="D157" s="471"/>
      <c r="E157" s="471"/>
      <c r="F157" s="471"/>
      <c r="G157" s="471"/>
      <c r="H157" s="471"/>
      <c r="I157" s="471"/>
      <c r="J157" s="471"/>
      <c r="K157" s="471"/>
      <c r="L157" s="471"/>
      <c r="M157" s="471"/>
      <c r="N157" s="488"/>
      <c r="O157" s="471"/>
      <c r="P157" s="402"/>
    </row>
    <row r="158" spans="1:256" s="494" customFormat="1" x14ac:dyDescent="0.3">
      <c r="A158" s="427"/>
      <c r="B158" s="428" t="s">
        <v>206</v>
      </c>
      <c r="C158" s="428"/>
      <c r="D158" s="428"/>
      <c r="E158" s="428"/>
      <c r="F158" s="428"/>
      <c r="G158" s="428"/>
      <c r="H158" s="428"/>
      <c r="I158" s="428"/>
      <c r="J158" s="428"/>
      <c r="K158" s="428"/>
      <c r="L158" s="428"/>
      <c r="M158" s="428"/>
      <c r="N158" s="470">
        <f>+'Nov 17'!N161</f>
        <v>70</v>
      </c>
      <c r="O158" s="430"/>
      <c r="P158" s="418"/>
      <c r="Q158" s="419"/>
      <c r="R158" s="419"/>
      <c r="S158" s="419"/>
      <c r="T158" s="419"/>
      <c r="U158" s="419"/>
      <c r="V158" s="419"/>
      <c r="W158" s="419"/>
      <c r="X158" s="419"/>
      <c r="Y158" s="419"/>
      <c r="Z158" s="419"/>
      <c r="AA158" s="419"/>
      <c r="AB158" s="419"/>
      <c r="AC158" s="419"/>
      <c r="AD158" s="419"/>
      <c r="AE158" s="419"/>
      <c r="AF158" s="419"/>
      <c r="AG158" s="419"/>
      <c r="AH158" s="419"/>
      <c r="AI158" s="419"/>
      <c r="AJ158" s="419"/>
      <c r="AK158" s="419"/>
      <c r="AL158" s="419"/>
      <c r="AM158" s="419"/>
      <c r="AN158" s="419"/>
      <c r="AO158" s="419"/>
      <c r="AP158" s="419"/>
      <c r="AQ158" s="419"/>
      <c r="AR158" s="419"/>
      <c r="AS158" s="419"/>
      <c r="AT158" s="419"/>
      <c r="AU158" s="419"/>
      <c r="AV158" s="419"/>
      <c r="AW158" s="419"/>
      <c r="AX158" s="419"/>
      <c r="AY158" s="419"/>
      <c r="AZ158" s="419"/>
      <c r="BA158" s="419"/>
      <c r="BB158" s="419"/>
      <c r="BC158" s="419"/>
      <c r="BD158" s="419"/>
      <c r="BE158" s="419"/>
      <c r="BF158" s="419"/>
      <c r="BG158" s="419"/>
      <c r="BH158" s="419"/>
      <c r="BI158" s="419"/>
      <c r="BJ158" s="419"/>
      <c r="BK158" s="419"/>
      <c r="BL158" s="419"/>
      <c r="BM158" s="419"/>
      <c r="BN158" s="419"/>
      <c r="BO158" s="419"/>
      <c r="BP158" s="419"/>
      <c r="BQ158" s="419"/>
      <c r="BR158" s="419"/>
      <c r="BS158" s="419"/>
      <c r="BT158" s="419"/>
      <c r="BU158" s="419"/>
      <c r="BV158" s="419"/>
      <c r="BW158" s="419"/>
      <c r="BX158" s="419"/>
      <c r="BY158" s="419"/>
      <c r="BZ158" s="419"/>
      <c r="CA158" s="419"/>
      <c r="CB158" s="419"/>
      <c r="CC158" s="419"/>
      <c r="CD158" s="419"/>
      <c r="CE158" s="419"/>
      <c r="CF158" s="419"/>
      <c r="CG158" s="419"/>
      <c r="CH158" s="419"/>
      <c r="CI158" s="419"/>
      <c r="CJ158" s="419"/>
      <c r="CK158" s="419"/>
      <c r="CL158" s="419"/>
      <c r="CM158" s="419"/>
      <c r="CN158" s="419"/>
      <c r="CO158" s="419"/>
      <c r="CP158" s="419"/>
      <c r="CQ158" s="419"/>
      <c r="CR158" s="419"/>
      <c r="CS158" s="419"/>
      <c r="CT158" s="419"/>
      <c r="CU158" s="419"/>
      <c r="CV158" s="419"/>
      <c r="CW158" s="419"/>
      <c r="CX158" s="419"/>
      <c r="CY158" s="419"/>
      <c r="CZ158" s="419"/>
      <c r="DA158" s="419"/>
      <c r="DB158" s="419"/>
      <c r="DC158" s="419"/>
      <c r="DD158" s="419"/>
      <c r="DE158" s="419"/>
      <c r="DF158" s="419"/>
      <c r="DG158" s="419"/>
      <c r="DH158" s="419"/>
      <c r="DI158" s="419"/>
      <c r="DJ158" s="419"/>
      <c r="DK158" s="419"/>
      <c r="DL158" s="419"/>
      <c r="DM158" s="419"/>
      <c r="DN158" s="419"/>
      <c r="DO158" s="419"/>
      <c r="DP158" s="419"/>
      <c r="DQ158" s="419"/>
      <c r="DR158" s="419"/>
      <c r="DS158" s="419"/>
      <c r="DT158" s="419"/>
      <c r="DU158" s="419"/>
      <c r="DV158" s="419"/>
      <c r="DW158" s="419"/>
      <c r="DX158" s="419"/>
      <c r="DY158" s="419"/>
      <c r="DZ158" s="419"/>
      <c r="EA158" s="419"/>
      <c r="EB158" s="419"/>
      <c r="EC158" s="419"/>
      <c r="ED158" s="419"/>
      <c r="EE158" s="419"/>
      <c r="EF158" s="419"/>
      <c r="EG158" s="419"/>
      <c r="EH158" s="419"/>
      <c r="EI158" s="419"/>
      <c r="EJ158" s="419"/>
      <c r="EK158" s="419"/>
      <c r="EL158" s="419"/>
      <c r="EM158" s="419"/>
      <c r="EN158" s="419"/>
      <c r="EO158" s="419"/>
      <c r="EP158" s="419"/>
      <c r="EQ158" s="419"/>
      <c r="ER158" s="419"/>
      <c r="ES158" s="419"/>
      <c r="ET158" s="419"/>
      <c r="EU158" s="419"/>
      <c r="EV158" s="419"/>
      <c r="EW158" s="419"/>
      <c r="EX158" s="419"/>
      <c r="EY158" s="419"/>
      <c r="EZ158" s="419"/>
      <c r="FA158" s="419"/>
      <c r="FB158" s="419"/>
      <c r="FC158" s="419"/>
      <c r="FD158" s="419"/>
      <c r="FE158" s="419"/>
      <c r="FF158" s="419"/>
      <c r="FG158" s="419"/>
      <c r="FH158" s="419"/>
      <c r="FI158" s="419"/>
      <c r="FJ158" s="419"/>
      <c r="FK158" s="419"/>
      <c r="FL158" s="419"/>
      <c r="FM158" s="419"/>
      <c r="FN158" s="419"/>
      <c r="FO158" s="419"/>
      <c r="FP158" s="419"/>
      <c r="FQ158" s="419"/>
      <c r="FR158" s="419"/>
      <c r="FS158" s="419"/>
      <c r="FT158" s="419"/>
      <c r="FU158" s="419"/>
      <c r="FV158" s="419"/>
      <c r="FW158" s="419"/>
      <c r="FX158" s="419"/>
      <c r="FY158" s="419"/>
      <c r="FZ158" s="419"/>
      <c r="GA158" s="419"/>
      <c r="GB158" s="419"/>
      <c r="GC158" s="419"/>
      <c r="GD158" s="419"/>
      <c r="GE158" s="419"/>
      <c r="GF158" s="419"/>
      <c r="GG158" s="419"/>
      <c r="GH158" s="419"/>
      <c r="GI158" s="419"/>
      <c r="GJ158" s="419"/>
      <c r="GK158" s="419"/>
      <c r="GL158" s="419"/>
      <c r="GM158" s="419"/>
      <c r="GN158" s="419"/>
      <c r="GO158" s="419"/>
      <c r="GP158" s="419"/>
      <c r="GQ158" s="419"/>
      <c r="GR158" s="419"/>
      <c r="GS158" s="419"/>
      <c r="GT158" s="419"/>
      <c r="GU158" s="419"/>
      <c r="GV158" s="419"/>
      <c r="GW158" s="419"/>
      <c r="GX158" s="419"/>
      <c r="GY158" s="419"/>
      <c r="GZ158" s="419"/>
      <c r="HA158" s="419"/>
      <c r="HB158" s="419"/>
      <c r="HC158" s="419"/>
      <c r="HD158" s="419"/>
      <c r="HE158" s="419"/>
      <c r="HF158" s="419"/>
      <c r="HG158" s="419"/>
      <c r="HH158" s="419"/>
      <c r="HI158" s="419"/>
      <c r="HJ158" s="419"/>
      <c r="HK158" s="419"/>
      <c r="HL158" s="419"/>
      <c r="HM158" s="419"/>
      <c r="HN158" s="419"/>
      <c r="HO158" s="419"/>
      <c r="HP158" s="419"/>
      <c r="HQ158" s="419"/>
      <c r="HR158" s="419"/>
      <c r="HS158" s="419"/>
      <c r="HT158" s="419"/>
      <c r="HU158" s="419"/>
      <c r="HV158" s="419"/>
      <c r="HW158" s="419"/>
      <c r="HX158" s="419"/>
      <c r="HY158" s="419"/>
      <c r="HZ158" s="419"/>
      <c r="IA158" s="419"/>
      <c r="IB158" s="419"/>
      <c r="IC158" s="419"/>
      <c r="ID158" s="419"/>
      <c r="IE158" s="419"/>
      <c r="IF158" s="419"/>
      <c r="IG158" s="419"/>
      <c r="IH158" s="419"/>
      <c r="II158" s="419"/>
      <c r="IJ158" s="419"/>
      <c r="IK158" s="419"/>
      <c r="IL158" s="419"/>
      <c r="IM158" s="419"/>
      <c r="IN158" s="419"/>
      <c r="IO158" s="419"/>
      <c r="IP158" s="419"/>
      <c r="IQ158" s="419"/>
      <c r="IR158" s="419"/>
      <c r="IS158" s="419"/>
      <c r="IT158" s="419"/>
      <c r="IU158" s="419"/>
      <c r="IV158" s="419"/>
    </row>
    <row r="159" spans="1:256" s="495" customFormat="1" x14ac:dyDescent="0.3">
      <c r="A159" s="427"/>
      <c r="B159" s="428" t="s">
        <v>207</v>
      </c>
      <c r="C159" s="428"/>
      <c r="D159" s="428"/>
      <c r="E159" s="428"/>
      <c r="F159" s="428"/>
      <c r="G159" s="428"/>
      <c r="H159" s="428"/>
      <c r="I159" s="428"/>
      <c r="J159" s="428"/>
      <c r="K159" s="428"/>
      <c r="L159" s="428"/>
      <c r="M159" s="428"/>
      <c r="N159" s="470">
        <v>3</v>
      </c>
      <c r="O159" s="430"/>
      <c r="P159" s="418"/>
      <c r="Q159" s="419"/>
      <c r="R159" s="419"/>
      <c r="S159" s="419"/>
      <c r="T159" s="419"/>
      <c r="U159" s="419"/>
      <c r="V159" s="419"/>
      <c r="W159" s="419"/>
      <c r="X159" s="419"/>
      <c r="Y159" s="419"/>
      <c r="Z159" s="419"/>
      <c r="AA159" s="419"/>
      <c r="AB159" s="419"/>
      <c r="AC159" s="419"/>
      <c r="AD159" s="419"/>
      <c r="AE159" s="419"/>
      <c r="AF159" s="419"/>
      <c r="AG159" s="419"/>
      <c r="AH159" s="419"/>
      <c r="AI159" s="419"/>
      <c r="AJ159" s="419"/>
      <c r="AK159" s="419"/>
      <c r="AL159" s="419"/>
      <c r="AM159" s="419"/>
      <c r="AN159" s="419"/>
      <c r="AO159" s="419"/>
      <c r="AP159" s="419"/>
      <c r="AQ159" s="419"/>
      <c r="AR159" s="419"/>
      <c r="AS159" s="419"/>
      <c r="AT159" s="419"/>
      <c r="AU159" s="419"/>
      <c r="AV159" s="419"/>
      <c r="AW159" s="419"/>
      <c r="AX159" s="419"/>
      <c r="AY159" s="419"/>
      <c r="AZ159" s="419"/>
      <c r="BA159" s="419"/>
      <c r="BB159" s="419"/>
      <c r="BC159" s="419"/>
      <c r="BD159" s="419"/>
      <c r="BE159" s="419"/>
      <c r="BF159" s="419"/>
      <c r="BG159" s="419"/>
      <c r="BH159" s="419"/>
      <c r="BI159" s="419"/>
      <c r="BJ159" s="419"/>
      <c r="BK159" s="419"/>
      <c r="BL159" s="419"/>
      <c r="BM159" s="419"/>
      <c r="BN159" s="419"/>
      <c r="BO159" s="419"/>
      <c r="BP159" s="419"/>
      <c r="BQ159" s="419"/>
      <c r="BR159" s="419"/>
      <c r="BS159" s="419"/>
      <c r="BT159" s="419"/>
      <c r="BU159" s="419"/>
      <c r="BV159" s="419"/>
      <c r="BW159" s="419"/>
      <c r="BX159" s="419"/>
      <c r="BY159" s="419"/>
      <c r="BZ159" s="419"/>
      <c r="CA159" s="419"/>
      <c r="CB159" s="419"/>
      <c r="CC159" s="419"/>
      <c r="CD159" s="419"/>
      <c r="CE159" s="419"/>
      <c r="CF159" s="419"/>
      <c r="CG159" s="419"/>
      <c r="CH159" s="419"/>
      <c r="CI159" s="419"/>
      <c r="CJ159" s="419"/>
      <c r="CK159" s="419"/>
      <c r="CL159" s="419"/>
      <c r="CM159" s="419"/>
      <c r="CN159" s="419"/>
      <c r="CO159" s="419"/>
      <c r="CP159" s="419"/>
      <c r="CQ159" s="419"/>
      <c r="CR159" s="419"/>
      <c r="CS159" s="419"/>
      <c r="CT159" s="419"/>
      <c r="CU159" s="419"/>
      <c r="CV159" s="419"/>
      <c r="CW159" s="419"/>
      <c r="CX159" s="419"/>
      <c r="CY159" s="419"/>
      <c r="CZ159" s="419"/>
      <c r="DA159" s="419"/>
      <c r="DB159" s="419"/>
      <c r="DC159" s="419"/>
      <c r="DD159" s="419"/>
      <c r="DE159" s="419"/>
      <c r="DF159" s="419"/>
      <c r="DG159" s="419"/>
      <c r="DH159" s="419"/>
      <c r="DI159" s="419"/>
      <c r="DJ159" s="419"/>
      <c r="DK159" s="419"/>
      <c r="DL159" s="419"/>
      <c r="DM159" s="419"/>
      <c r="DN159" s="419"/>
      <c r="DO159" s="419"/>
      <c r="DP159" s="419"/>
      <c r="DQ159" s="419"/>
      <c r="DR159" s="419"/>
      <c r="DS159" s="419"/>
      <c r="DT159" s="419"/>
      <c r="DU159" s="419"/>
      <c r="DV159" s="419"/>
      <c r="DW159" s="419"/>
      <c r="DX159" s="419"/>
      <c r="DY159" s="419"/>
      <c r="DZ159" s="419"/>
      <c r="EA159" s="419"/>
      <c r="EB159" s="419"/>
      <c r="EC159" s="419"/>
      <c r="ED159" s="419"/>
      <c r="EE159" s="419"/>
      <c r="EF159" s="419"/>
      <c r="EG159" s="419"/>
      <c r="EH159" s="419"/>
      <c r="EI159" s="419"/>
      <c r="EJ159" s="419"/>
      <c r="EK159" s="419"/>
      <c r="EL159" s="419"/>
      <c r="EM159" s="419"/>
      <c r="EN159" s="419"/>
      <c r="EO159" s="419"/>
      <c r="EP159" s="419"/>
      <c r="EQ159" s="419"/>
      <c r="ER159" s="419"/>
      <c r="ES159" s="419"/>
      <c r="ET159" s="419"/>
      <c r="EU159" s="419"/>
      <c r="EV159" s="419"/>
      <c r="EW159" s="419"/>
      <c r="EX159" s="419"/>
      <c r="EY159" s="419"/>
      <c r="EZ159" s="419"/>
      <c r="FA159" s="419"/>
      <c r="FB159" s="419"/>
      <c r="FC159" s="419"/>
      <c r="FD159" s="419"/>
      <c r="FE159" s="419"/>
      <c r="FF159" s="419"/>
      <c r="FG159" s="419"/>
      <c r="FH159" s="419"/>
      <c r="FI159" s="419"/>
      <c r="FJ159" s="419"/>
      <c r="FK159" s="419"/>
      <c r="FL159" s="419"/>
      <c r="FM159" s="419"/>
      <c r="FN159" s="419"/>
      <c r="FO159" s="419"/>
      <c r="FP159" s="419"/>
      <c r="FQ159" s="419"/>
      <c r="FR159" s="419"/>
      <c r="FS159" s="419"/>
      <c r="FT159" s="419"/>
      <c r="FU159" s="419"/>
      <c r="FV159" s="419"/>
      <c r="FW159" s="419"/>
      <c r="FX159" s="419"/>
      <c r="FY159" s="419"/>
      <c r="FZ159" s="419"/>
      <c r="GA159" s="419"/>
      <c r="GB159" s="419"/>
      <c r="GC159" s="419"/>
      <c r="GD159" s="419"/>
      <c r="GE159" s="419"/>
      <c r="GF159" s="419"/>
      <c r="GG159" s="419"/>
      <c r="GH159" s="419"/>
      <c r="GI159" s="419"/>
      <c r="GJ159" s="419"/>
      <c r="GK159" s="419"/>
      <c r="GL159" s="419"/>
      <c r="GM159" s="419"/>
      <c r="GN159" s="419"/>
      <c r="GO159" s="419"/>
      <c r="GP159" s="419"/>
      <c r="GQ159" s="419"/>
      <c r="GR159" s="419"/>
      <c r="GS159" s="419"/>
      <c r="GT159" s="419"/>
      <c r="GU159" s="419"/>
      <c r="GV159" s="419"/>
      <c r="GW159" s="419"/>
      <c r="GX159" s="419"/>
      <c r="GY159" s="419"/>
      <c r="GZ159" s="419"/>
      <c r="HA159" s="419"/>
      <c r="HB159" s="419"/>
      <c r="HC159" s="419"/>
      <c r="HD159" s="419"/>
      <c r="HE159" s="419"/>
      <c r="HF159" s="419"/>
      <c r="HG159" s="419"/>
      <c r="HH159" s="419"/>
      <c r="HI159" s="419"/>
      <c r="HJ159" s="419"/>
      <c r="HK159" s="419"/>
      <c r="HL159" s="419"/>
      <c r="HM159" s="419"/>
      <c r="HN159" s="419"/>
      <c r="HO159" s="419"/>
      <c r="HP159" s="419"/>
      <c r="HQ159" s="419"/>
      <c r="HR159" s="419"/>
      <c r="HS159" s="419"/>
      <c r="HT159" s="419"/>
      <c r="HU159" s="419"/>
      <c r="HV159" s="419"/>
      <c r="HW159" s="419"/>
      <c r="HX159" s="419"/>
      <c r="HY159" s="419"/>
      <c r="HZ159" s="419"/>
      <c r="IA159" s="419"/>
      <c r="IB159" s="419"/>
      <c r="IC159" s="419"/>
      <c r="ID159" s="419"/>
      <c r="IE159" s="419"/>
      <c r="IF159" s="419"/>
      <c r="IG159" s="419"/>
      <c r="IH159" s="419"/>
      <c r="II159" s="419"/>
      <c r="IJ159" s="419"/>
      <c r="IK159" s="419"/>
      <c r="IL159" s="419"/>
      <c r="IM159" s="419"/>
      <c r="IN159" s="419"/>
      <c r="IO159" s="419"/>
      <c r="IP159" s="419"/>
      <c r="IQ159" s="419"/>
      <c r="IR159" s="419"/>
      <c r="IS159" s="419"/>
      <c r="IT159" s="419"/>
      <c r="IU159" s="419"/>
      <c r="IV159" s="419"/>
    </row>
    <row r="160" spans="1:256" s="496" customFormat="1" x14ac:dyDescent="0.3">
      <c r="A160" s="427"/>
      <c r="B160" s="428" t="s">
        <v>208</v>
      </c>
      <c r="C160" s="428"/>
      <c r="D160" s="428"/>
      <c r="E160" s="428"/>
      <c r="F160" s="428"/>
      <c r="G160" s="428"/>
      <c r="H160" s="428"/>
      <c r="I160" s="428"/>
      <c r="J160" s="428"/>
      <c r="K160" s="428"/>
      <c r="L160" s="428"/>
      <c r="M160" s="428"/>
      <c r="N160" s="470">
        <v>0</v>
      </c>
      <c r="O160" s="430"/>
      <c r="P160" s="418"/>
      <c r="Q160" s="419"/>
      <c r="R160" s="419"/>
      <c r="S160" s="419"/>
      <c r="T160" s="419"/>
      <c r="U160" s="419"/>
      <c r="V160" s="419"/>
      <c r="W160" s="419"/>
      <c r="X160" s="419"/>
      <c r="Y160" s="419"/>
      <c r="Z160" s="419"/>
      <c r="AA160" s="419"/>
      <c r="AB160" s="419"/>
      <c r="AC160" s="419"/>
      <c r="AD160" s="419"/>
      <c r="AE160" s="419"/>
      <c r="AF160" s="419"/>
      <c r="AG160" s="419"/>
      <c r="AH160" s="419"/>
      <c r="AI160" s="419"/>
      <c r="AJ160" s="419"/>
      <c r="AK160" s="419"/>
      <c r="AL160" s="419"/>
      <c r="AM160" s="419"/>
      <c r="AN160" s="419"/>
      <c r="AO160" s="419"/>
      <c r="AP160" s="419"/>
      <c r="AQ160" s="419"/>
      <c r="AR160" s="419"/>
      <c r="AS160" s="419"/>
      <c r="AT160" s="419"/>
      <c r="AU160" s="419"/>
      <c r="AV160" s="419"/>
      <c r="AW160" s="419"/>
      <c r="AX160" s="419"/>
      <c r="AY160" s="419"/>
      <c r="AZ160" s="419"/>
      <c r="BA160" s="419"/>
      <c r="BB160" s="419"/>
      <c r="BC160" s="419"/>
      <c r="BD160" s="419"/>
      <c r="BE160" s="419"/>
      <c r="BF160" s="419"/>
      <c r="BG160" s="419"/>
      <c r="BH160" s="419"/>
      <c r="BI160" s="419"/>
      <c r="BJ160" s="419"/>
      <c r="BK160" s="419"/>
      <c r="BL160" s="419"/>
      <c r="BM160" s="419"/>
      <c r="BN160" s="419"/>
      <c r="BO160" s="419"/>
      <c r="BP160" s="419"/>
      <c r="BQ160" s="419"/>
      <c r="BR160" s="419"/>
      <c r="BS160" s="419"/>
      <c r="BT160" s="419"/>
      <c r="BU160" s="419"/>
      <c r="BV160" s="419"/>
      <c r="BW160" s="419"/>
      <c r="BX160" s="419"/>
      <c r="BY160" s="419"/>
      <c r="BZ160" s="419"/>
      <c r="CA160" s="419"/>
      <c r="CB160" s="419"/>
      <c r="CC160" s="419"/>
      <c r="CD160" s="419"/>
      <c r="CE160" s="419"/>
      <c r="CF160" s="419"/>
      <c r="CG160" s="419"/>
      <c r="CH160" s="419"/>
      <c r="CI160" s="419"/>
      <c r="CJ160" s="419"/>
      <c r="CK160" s="419"/>
      <c r="CL160" s="419"/>
      <c r="CM160" s="419"/>
      <c r="CN160" s="419"/>
      <c r="CO160" s="419"/>
      <c r="CP160" s="419"/>
      <c r="CQ160" s="419"/>
      <c r="CR160" s="419"/>
      <c r="CS160" s="419"/>
      <c r="CT160" s="419"/>
      <c r="CU160" s="419"/>
      <c r="CV160" s="419"/>
      <c r="CW160" s="419"/>
      <c r="CX160" s="419"/>
      <c r="CY160" s="419"/>
      <c r="CZ160" s="419"/>
      <c r="DA160" s="419"/>
      <c r="DB160" s="419"/>
      <c r="DC160" s="419"/>
      <c r="DD160" s="419"/>
      <c r="DE160" s="419"/>
      <c r="DF160" s="419"/>
      <c r="DG160" s="419"/>
      <c r="DH160" s="419"/>
      <c r="DI160" s="419"/>
      <c r="DJ160" s="419"/>
      <c r="DK160" s="419"/>
      <c r="DL160" s="419"/>
      <c r="DM160" s="419"/>
      <c r="DN160" s="419"/>
      <c r="DO160" s="419"/>
      <c r="DP160" s="419"/>
      <c r="DQ160" s="419"/>
      <c r="DR160" s="419"/>
      <c r="DS160" s="419"/>
      <c r="DT160" s="419"/>
      <c r="DU160" s="419"/>
      <c r="DV160" s="419"/>
      <c r="DW160" s="419"/>
      <c r="DX160" s="419"/>
      <c r="DY160" s="419"/>
      <c r="DZ160" s="419"/>
      <c r="EA160" s="419"/>
      <c r="EB160" s="419"/>
      <c r="EC160" s="419"/>
      <c r="ED160" s="419"/>
      <c r="EE160" s="419"/>
      <c r="EF160" s="419"/>
      <c r="EG160" s="419"/>
      <c r="EH160" s="419"/>
      <c r="EI160" s="419"/>
      <c r="EJ160" s="419"/>
      <c r="EK160" s="419"/>
      <c r="EL160" s="419"/>
      <c r="EM160" s="419"/>
      <c r="EN160" s="419"/>
      <c r="EO160" s="419"/>
      <c r="EP160" s="419"/>
      <c r="EQ160" s="419"/>
      <c r="ER160" s="419"/>
      <c r="ES160" s="419"/>
      <c r="ET160" s="419"/>
      <c r="EU160" s="419"/>
      <c r="EV160" s="419"/>
      <c r="EW160" s="419"/>
      <c r="EX160" s="419"/>
      <c r="EY160" s="419"/>
      <c r="EZ160" s="419"/>
      <c r="FA160" s="419"/>
      <c r="FB160" s="419"/>
      <c r="FC160" s="419"/>
      <c r="FD160" s="419"/>
      <c r="FE160" s="419"/>
      <c r="FF160" s="419"/>
      <c r="FG160" s="419"/>
      <c r="FH160" s="419"/>
      <c r="FI160" s="419"/>
      <c r="FJ160" s="419"/>
      <c r="FK160" s="419"/>
      <c r="FL160" s="419"/>
      <c r="FM160" s="419"/>
      <c r="FN160" s="419"/>
      <c r="FO160" s="419"/>
      <c r="FP160" s="419"/>
      <c r="FQ160" s="419"/>
      <c r="FR160" s="419"/>
      <c r="FS160" s="419"/>
      <c r="FT160" s="419"/>
      <c r="FU160" s="419"/>
      <c r="FV160" s="419"/>
      <c r="FW160" s="419"/>
      <c r="FX160" s="419"/>
      <c r="FY160" s="419"/>
      <c r="FZ160" s="419"/>
      <c r="GA160" s="419"/>
      <c r="GB160" s="419"/>
      <c r="GC160" s="419"/>
      <c r="GD160" s="419"/>
      <c r="GE160" s="419"/>
      <c r="GF160" s="419"/>
      <c r="GG160" s="419"/>
      <c r="GH160" s="419"/>
      <c r="GI160" s="419"/>
      <c r="GJ160" s="419"/>
      <c r="GK160" s="419"/>
      <c r="GL160" s="419"/>
      <c r="GM160" s="419"/>
      <c r="GN160" s="419"/>
      <c r="GO160" s="419"/>
      <c r="GP160" s="419"/>
      <c r="GQ160" s="419"/>
      <c r="GR160" s="419"/>
      <c r="GS160" s="419"/>
      <c r="GT160" s="419"/>
      <c r="GU160" s="419"/>
      <c r="GV160" s="419"/>
      <c r="GW160" s="419"/>
      <c r="GX160" s="419"/>
      <c r="GY160" s="419"/>
      <c r="GZ160" s="419"/>
      <c r="HA160" s="419"/>
      <c r="HB160" s="419"/>
      <c r="HC160" s="419"/>
      <c r="HD160" s="419"/>
      <c r="HE160" s="419"/>
      <c r="HF160" s="419"/>
      <c r="HG160" s="419"/>
      <c r="HH160" s="419"/>
      <c r="HI160" s="419"/>
      <c r="HJ160" s="419"/>
      <c r="HK160" s="419"/>
      <c r="HL160" s="419"/>
      <c r="HM160" s="419"/>
      <c r="HN160" s="419"/>
      <c r="HO160" s="419"/>
      <c r="HP160" s="419"/>
      <c r="HQ160" s="419"/>
      <c r="HR160" s="419"/>
      <c r="HS160" s="419"/>
      <c r="HT160" s="419"/>
      <c r="HU160" s="419"/>
      <c r="HV160" s="419"/>
      <c r="HW160" s="419"/>
      <c r="HX160" s="419"/>
      <c r="HY160" s="419"/>
      <c r="HZ160" s="419"/>
      <c r="IA160" s="419"/>
      <c r="IB160" s="419"/>
      <c r="IC160" s="419"/>
      <c r="ID160" s="419"/>
      <c r="IE160" s="419"/>
      <c r="IF160" s="419"/>
      <c r="IG160" s="419"/>
      <c r="IH160" s="419"/>
      <c r="II160" s="419"/>
      <c r="IJ160" s="419"/>
      <c r="IK160" s="419"/>
      <c r="IL160" s="419"/>
      <c r="IM160" s="419"/>
      <c r="IN160" s="419"/>
      <c r="IO160" s="419"/>
      <c r="IP160" s="419"/>
      <c r="IQ160" s="419"/>
      <c r="IR160" s="419"/>
      <c r="IS160" s="419"/>
      <c r="IT160" s="419"/>
      <c r="IU160" s="419"/>
      <c r="IV160" s="419"/>
    </row>
    <row r="161" spans="1:256" s="497" customFormat="1" x14ac:dyDescent="0.3">
      <c r="A161" s="427"/>
      <c r="B161" s="428" t="s">
        <v>217</v>
      </c>
      <c r="C161" s="428"/>
      <c r="D161" s="428"/>
      <c r="E161" s="428"/>
      <c r="F161" s="428"/>
      <c r="G161" s="428"/>
      <c r="H161" s="428"/>
      <c r="I161" s="428"/>
      <c r="J161" s="428"/>
      <c r="K161" s="428"/>
      <c r="L161" s="428"/>
      <c r="M161" s="428"/>
      <c r="N161" s="470">
        <f>N158-N159-N160</f>
        <v>67</v>
      </c>
      <c r="O161" s="430"/>
      <c r="P161" s="418"/>
      <c r="Q161" s="419"/>
      <c r="R161" s="419"/>
      <c r="S161" s="419"/>
      <c r="T161" s="419"/>
      <c r="U161" s="419"/>
      <c r="V161" s="419"/>
      <c r="W161" s="419"/>
      <c r="X161" s="419"/>
      <c r="Y161" s="419"/>
      <c r="Z161" s="419"/>
      <c r="AA161" s="419"/>
      <c r="AB161" s="419"/>
      <c r="AC161" s="419"/>
      <c r="AD161" s="419"/>
      <c r="AE161" s="419"/>
      <c r="AF161" s="419"/>
      <c r="AG161" s="419"/>
      <c r="AH161" s="419"/>
      <c r="AI161" s="419"/>
      <c r="AJ161" s="419"/>
      <c r="AK161" s="419"/>
      <c r="AL161" s="419"/>
      <c r="AM161" s="419"/>
      <c r="AN161" s="419"/>
      <c r="AO161" s="419"/>
      <c r="AP161" s="419"/>
      <c r="AQ161" s="419"/>
      <c r="AR161" s="419"/>
      <c r="AS161" s="419"/>
      <c r="AT161" s="419"/>
      <c r="AU161" s="419"/>
      <c r="AV161" s="419"/>
      <c r="AW161" s="419"/>
      <c r="AX161" s="419"/>
      <c r="AY161" s="419"/>
      <c r="AZ161" s="419"/>
      <c r="BA161" s="419"/>
      <c r="BB161" s="419"/>
      <c r="BC161" s="419"/>
      <c r="BD161" s="419"/>
      <c r="BE161" s="419"/>
      <c r="BF161" s="419"/>
      <c r="BG161" s="419"/>
      <c r="BH161" s="419"/>
      <c r="BI161" s="419"/>
      <c r="BJ161" s="419"/>
      <c r="BK161" s="419"/>
      <c r="BL161" s="419"/>
      <c r="BM161" s="419"/>
      <c r="BN161" s="419"/>
      <c r="BO161" s="419"/>
      <c r="BP161" s="419"/>
      <c r="BQ161" s="419"/>
      <c r="BR161" s="419"/>
      <c r="BS161" s="419"/>
      <c r="BT161" s="419"/>
      <c r="BU161" s="419"/>
      <c r="BV161" s="419"/>
      <c r="BW161" s="419"/>
      <c r="BX161" s="419"/>
      <c r="BY161" s="419"/>
      <c r="BZ161" s="419"/>
      <c r="CA161" s="419"/>
      <c r="CB161" s="419"/>
      <c r="CC161" s="419"/>
      <c r="CD161" s="419"/>
      <c r="CE161" s="419"/>
      <c r="CF161" s="419"/>
      <c r="CG161" s="419"/>
      <c r="CH161" s="419"/>
      <c r="CI161" s="419"/>
      <c r="CJ161" s="419"/>
      <c r="CK161" s="419"/>
      <c r="CL161" s="419"/>
      <c r="CM161" s="419"/>
      <c r="CN161" s="419"/>
      <c r="CO161" s="419"/>
      <c r="CP161" s="419"/>
      <c r="CQ161" s="419"/>
      <c r="CR161" s="419"/>
      <c r="CS161" s="419"/>
      <c r="CT161" s="419"/>
      <c r="CU161" s="419"/>
      <c r="CV161" s="419"/>
      <c r="CW161" s="419"/>
      <c r="CX161" s="419"/>
      <c r="CY161" s="419"/>
      <c r="CZ161" s="419"/>
      <c r="DA161" s="419"/>
      <c r="DB161" s="419"/>
      <c r="DC161" s="419"/>
      <c r="DD161" s="419"/>
      <c r="DE161" s="419"/>
      <c r="DF161" s="419"/>
      <c r="DG161" s="419"/>
      <c r="DH161" s="419"/>
      <c r="DI161" s="419"/>
      <c r="DJ161" s="419"/>
      <c r="DK161" s="419"/>
      <c r="DL161" s="419"/>
      <c r="DM161" s="419"/>
      <c r="DN161" s="419"/>
      <c r="DO161" s="419"/>
      <c r="DP161" s="419"/>
      <c r="DQ161" s="419"/>
      <c r="DR161" s="419"/>
      <c r="DS161" s="419"/>
      <c r="DT161" s="419"/>
      <c r="DU161" s="419"/>
      <c r="DV161" s="419"/>
      <c r="DW161" s="419"/>
      <c r="DX161" s="419"/>
      <c r="DY161" s="419"/>
      <c r="DZ161" s="419"/>
      <c r="EA161" s="419"/>
      <c r="EB161" s="419"/>
      <c r="EC161" s="419"/>
      <c r="ED161" s="419"/>
      <c r="EE161" s="419"/>
      <c r="EF161" s="419"/>
      <c r="EG161" s="419"/>
      <c r="EH161" s="419"/>
      <c r="EI161" s="419"/>
      <c r="EJ161" s="419"/>
      <c r="EK161" s="419"/>
      <c r="EL161" s="419"/>
      <c r="EM161" s="419"/>
      <c r="EN161" s="419"/>
      <c r="EO161" s="419"/>
      <c r="EP161" s="419"/>
      <c r="EQ161" s="419"/>
      <c r="ER161" s="419"/>
      <c r="ES161" s="419"/>
      <c r="ET161" s="419"/>
      <c r="EU161" s="419"/>
      <c r="EV161" s="419"/>
      <c r="EW161" s="419"/>
      <c r="EX161" s="419"/>
      <c r="EY161" s="419"/>
      <c r="EZ161" s="419"/>
      <c r="FA161" s="419"/>
      <c r="FB161" s="419"/>
      <c r="FC161" s="419"/>
      <c r="FD161" s="419"/>
      <c r="FE161" s="419"/>
      <c r="FF161" s="419"/>
      <c r="FG161" s="419"/>
      <c r="FH161" s="419"/>
      <c r="FI161" s="419"/>
      <c r="FJ161" s="419"/>
      <c r="FK161" s="419"/>
      <c r="FL161" s="419"/>
      <c r="FM161" s="419"/>
      <c r="FN161" s="419"/>
      <c r="FO161" s="419"/>
      <c r="FP161" s="419"/>
      <c r="FQ161" s="419"/>
      <c r="FR161" s="419"/>
      <c r="FS161" s="419"/>
      <c r="FT161" s="419"/>
      <c r="FU161" s="419"/>
      <c r="FV161" s="419"/>
      <c r="FW161" s="419"/>
      <c r="FX161" s="419"/>
      <c r="FY161" s="419"/>
      <c r="FZ161" s="419"/>
      <c r="GA161" s="419"/>
      <c r="GB161" s="419"/>
      <c r="GC161" s="419"/>
      <c r="GD161" s="419"/>
      <c r="GE161" s="419"/>
      <c r="GF161" s="419"/>
      <c r="GG161" s="419"/>
      <c r="GH161" s="419"/>
      <c r="GI161" s="419"/>
      <c r="GJ161" s="419"/>
      <c r="GK161" s="419"/>
      <c r="GL161" s="419"/>
      <c r="GM161" s="419"/>
      <c r="GN161" s="419"/>
      <c r="GO161" s="419"/>
      <c r="GP161" s="419"/>
      <c r="GQ161" s="419"/>
      <c r="GR161" s="419"/>
      <c r="GS161" s="419"/>
      <c r="GT161" s="419"/>
      <c r="GU161" s="419"/>
      <c r="GV161" s="419"/>
      <c r="GW161" s="419"/>
      <c r="GX161" s="419"/>
      <c r="GY161" s="419"/>
      <c r="GZ161" s="419"/>
      <c r="HA161" s="419"/>
      <c r="HB161" s="419"/>
      <c r="HC161" s="419"/>
      <c r="HD161" s="419"/>
      <c r="HE161" s="419"/>
      <c r="HF161" s="419"/>
      <c r="HG161" s="419"/>
      <c r="HH161" s="419"/>
      <c r="HI161" s="419"/>
      <c r="HJ161" s="419"/>
      <c r="HK161" s="419"/>
      <c r="HL161" s="419"/>
      <c r="HM161" s="419"/>
      <c r="HN161" s="419"/>
      <c r="HO161" s="419"/>
      <c r="HP161" s="419"/>
      <c r="HQ161" s="419"/>
      <c r="HR161" s="419"/>
      <c r="HS161" s="419"/>
      <c r="HT161" s="419"/>
      <c r="HU161" s="419"/>
      <c r="HV161" s="419"/>
      <c r="HW161" s="419"/>
      <c r="HX161" s="419"/>
      <c r="HY161" s="419"/>
      <c r="HZ161" s="419"/>
      <c r="IA161" s="419"/>
      <c r="IB161" s="419"/>
      <c r="IC161" s="419"/>
      <c r="ID161" s="419"/>
      <c r="IE161" s="419"/>
      <c r="IF161" s="419"/>
      <c r="IG161" s="419"/>
      <c r="IH161" s="419"/>
      <c r="II161" s="419"/>
      <c r="IJ161" s="419"/>
      <c r="IK161" s="419"/>
      <c r="IL161" s="419"/>
      <c r="IM161" s="419"/>
      <c r="IN161" s="419"/>
      <c r="IO161" s="419"/>
      <c r="IP161" s="419"/>
      <c r="IQ161" s="419"/>
      <c r="IR161" s="419"/>
      <c r="IS161" s="419"/>
      <c r="IT161" s="419"/>
      <c r="IU161" s="419"/>
      <c r="IV161" s="419"/>
    </row>
    <row r="162" spans="1:256" s="499" customFormat="1" ht="16.2" thickBot="1" x14ac:dyDescent="0.35">
      <c r="A162" s="404"/>
      <c r="B162" s="476"/>
      <c r="C162" s="476"/>
      <c r="D162" s="476"/>
      <c r="E162" s="476"/>
      <c r="F162" s="476"/>
      <c r="G162" s="476"/>
      <c r="H162" s="476"/>
      <c r="I162" s="476"/>
      <c r="J162" s="476"/>
      <c r="K162" s="476"/>
      <c r="L162" s="476"/>
      <c r="M162" s="476"/>
      <c r="N162" s="498"/>
      <c r="O162" s="476"/>
      <c r="P162" s="402"/>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c r="BT162" s="403"/>
      <c r="BU162" s="403"/>
      <c r="BV162" s="403"/>
      <c r="BW162" s="403"/>
      <c r="BX162" s="403"/>
      <c r="BY162" s="403"/>
      <c r="BZ162" s="403"/>
      <c r="CA162" s="403"/>
      <c r="CB162" s="403"/>
      <c r="CC162" s="403"/>
      <c r="CD162" s="403"/>
      <c r="CE162" s="403"/>
      <c r="CF162" s="403"/>
      <c r="CG162" s="403"/>
      <c r="CH162" s="403"/>
      <c r="CI162" s="403"/>
      <c r="CJ162" s="403"/>
      <c r="CK162" s="403"/>
      <c r="CL162" s="403"/>
      <c r="CM162" s="403"/>
      <c r="CN162" s="403"/>
      <c r="CO162" s="403"/>
      <c r="CP162" s="403"/>
      <c r="CQ162" s="403"/>
      <c r="CR162" s="403"/>
      <c r="CS162" s="403"/>
      <c r="CT162" s="403"/>
      <c r="CU162" s="403"/>
      <c r="CV162" s="403"/>
      <c r="CW162" s="403"/>
      <c r="CX162" s="403"/>
      <c r="CY162" s="403"/>
      <c r="CZ162" s="403"/>
      <c r="DA162" s="403"/>
      <c r="DB162" s="403"/>
      <c r="DC162" s="403"/>
      <c r="DD162" s="403"/>
      <c r="DE162" s="403"/>
      <c r="DF162" s="403"/>
      <c r="DG162" s="403"/>
      <c r="DH162" s="403"/>
      <c r="DI162" s="403"/>
      <c r="DJ162" s="403"/>
      <c r="DK162" s="403"/>
      <c r="DL162" s="403"/>
      <c r="DM162" s="403"/>
      <c r="DN162" s="403"/>
      <c r="DO162" s="403"/>
      <c r="DP162" s="403"/>
      <c r="DQ162" s="403"/>
      <c r="DR162" s="403"/>
      <c r="DS162" s="403"/>
      <c r="DT162" s="403"/>
      <c r="DU162" s="403"/>
      <c r="DV162" s="403"/>
      <c r="DW162" s="403"/>
      <c r="DX162" s="403"/>
      <c r="DY162" s="403"/>
      <c r="DZ162" s="403"/>
      <c r="EA162" s="403"/>
      <c r="EB162" s="403"/>
      <c r="EC162" s="403"/>
      <c r="ED162" s="403"/>
      <c r="EE162" s="403"/>
      <c r="EF162" s="403"/>
      <c r="EG162" s="403"/>
      <c r="EH162" s="403"/>
      <c r="EI162" s="403"/>
      <c r="EJ162" s="403"/>
      <c r="EK162" s="403"/>
      <c r="EL162" s="403"/>
      <c r="EM162" s="403"/>
      <c r="EN162" s="403"/>
      <c r="EO162" s="403"/>
      <c r="EP162" s="403"/>
      <c r="EQ162" s="403"/>
      <c r="ER162" s="403"/>
      <c r="ES162" s="403"/>
      <c r="ET162" s="403"/>
      <c r="EU162" s="403"/>
      <c r="EV162" s="403"/>
      <c r="EW162" s="403"/>
      <c r="EX162" s="403"/>
      <c r="EY162" s="403"/>
      <c r="EZ162" s="403"/>
      <c r="FA162" s="403"/>
      <c r="FB162" s="403"/>
      <c r="FC162" s="403"/>
      <c r="FD162" s="403"/>
      <c r="FE162" s="403"/>
      <c r="FF162" s="403"/>
      <c r="FG162" s="403"/>
      <c r="FH162" s="403"/>
      <c r="FI162" s="403"/>
      <c r="FJ162" s="403"/>
      <c r="FK162" s="403"/>
      <c r="FL162" s="403"/>
      <c r="FM162" s="403"/>
      <c r="FN162" s="403"/>
      <c r="FO162" s="403"/>
      <c r="FP162" s="403"/>
      <c r="FQ162" s="403"/>
      <c r="FR162" s="403"/>
      <c r="FS162" s="403"/>
      <c r="FT162" s="403"/>
      <c r="FU162" s="403"/>
      <c r="FV162" s="403"/>
      <c r="FW162" s="403"/>
      <c r="FX162" s="403"/>
      <c r="FY162" s="403"/>
      <c r="FZ162" s="403"/>
      <c r="GA162" s="403"/>
      <c r="GB162" s="403"/>
      <c r="GC162" s="403"/>
      <c r="GD162" s="403"/>
      <c r="GE162" s="403"/>
      <c r="GF162" s="403"/>
      <c r="GG162" s="403"/>
      <c r="GH162" s="403"/>
      <c r="GI162" s="403"/>
      <c r="GJ162" s="403"/>
      <c r="GK162" s="403"/>
      <c r="GL162" s="403"/>
      <c r="GM162" s="403"/>
      <c r="GN162" s="403"/>
      <c r="GO162" s="403"/>
      <c r="GP162" s="403"/>
      <c r="GQ162" s="403"/>
      <c r="GR162" s="403"/>
      <c r="GS162" s="403"/>
      <c r="GT162" s="403"/>
      <c r="GU162" s="403"/>
      <c r="GV162" s="403"/>
      <c r="GW162" s="403"/>
      <c r="GX162" s="403"/>
      <c r="GY162" s="403"/>
      <c r="GZ162" s="403"/>
      <c r="HA162" s="403"/>
      <c r="HB162" s="403"/>
      <c r="HC162" s="403"/>
      <c r="HD162" s="403"/>
      <c r="HE162" s="403"/>
      <c r="HF162" s="403"/>
      <c r="HG162" s="403"/>
      <c r="HH162" s="403"/>
      <c r="HI162" s="403"/>
      <c r="HJ162" s="403"/>
      <c r="HK162" s="403"/>
      <c r="HL162" s="403"/>
      <c r="HM162" s="403"/>
      <c r="HN162" s="403"/>
      <c r="HO162" s="403"/>
      <c r="HP162" s="403"/>
      <c r="HQ162" s="403"/>
      <c r="HR162" s="403"/>
      <c r="HS162" s="403"/>
      <c r="HT162" s="403"/>
      <c r="HU162" s="403"/>
      <c r="HV162" s="403"/>
      <c r="HW162" s="403"/>
      <c r="HX162" s="403"/>
      <c r="HY162" s="403"/>
      <c r="HZ162" s="403"/>
      <c r="IA162" s="403"/>
      <c r="IB162" s="403"/>
      <c r="IC162" s="403"/>
      <c r="ID162" s="403"/>
      <c r="IE162" s="403"/>
      <c r="IF162" s="403"/>
      <c r="IG162" s="403"/>
      <c r="IH162" s="403"/>
      <c r="II162" s="403"/>
      <c r="IJ162" s="403"/>
      <c r="IK162" s="403"/>
      <c r="IL162" s="403"/>
      <c r="IM162" s="403"/>
      <c r="IN162" s="403"/>
      <c r="IO162" s="403"/>
      <c r="IP162" s="403"/>
      <c r="IQ162" s="403"/>
      <c r="IR162" s="403"/>
      <c r="IS162" s="403"/>
      <c r="IT162" s="403"/>
      <c r="IU162" s="403"/>
      <c r="IV162" s="403"/>
    </row>
    <row r="163" spans="1:256" s="504" customFormat="1" x14ac:dyDescent="0.3">
      <c r="A163" s="500"/>
      <c r="B163" s="501"/>
      <c r="C163" s="501"/>
      <c r="D163" s="501"/>
      <c r="E163" s="501"/>
      <c r="F163" s="501"/>
      <c r="G163" s="501"/>
      <c r="H163" s="501"/>
      <c r="I163" s="501"/>
      <c r="J163" s="501"/>
      <c r="K163" s="501"/>
      <c r="L163" s="501"/>
      <c r="M163" s="501"/>
      <c r="N163" s="502"/>
      <c r="O163" s="501"/>
      <c r="P163" s="503"/>
    </row>
    <row r="164" spans="1:256" s="569" customFormat="1" x14ac:dyDescent="0.3">
      <c r="A164" s="572"/>
      <c r="B164" s="578" t="s">
        <v>55</v>
      </c>
      <c r="C164" s="576"/>
      <c r="D164" s="580"/>
      <c r="E164" s="580"/>
      <c r="F164" s="580"/>
      <c r="G164" s="580"/>
      <c r="H164" s="580"/>
      <c r="I164" s="580"/>
      <c r="J164" s="580"/>
      <c r="K164" s="580" t="s">
        <v>98</v>
      </c>
      <c r="L164" s="580" t="s">
        <v>226</v>
      </c>
      <c r="M164" s="408"/>
      <c r="N164" s="581" t="s">
        <v>114</v>
      </c>
      <c r="O164" s="408"/>
      <c r="P164" s="568"/>
    </row>
    <row r="165" spans="1:256" s="419" customFormat="1" x14ac:dyDescent="0.3">
      <c r="A165" s="427"/>
      <c r="B165" s="428" t="s">
        <v>56</v>
      </c>
      <c r="C165" s="428"/>
      <c r="D165" s="428"/>
      <c r="E165" s="428"/>
      <c r="F165" s="428"/>
      <c r="G165" s="428"/>
      <c r="H165" s="428"/>
      <c r="I165" s="428"/>
      <c r="J165" s="428"/>
      <c r="K165" s="470" t="s">
        <v>117</v>
      </c>
      <c r="L165" s="449" t="s">
        <v>117</v>
      </c>
      <c r="M165" s="428"/>
      <c r="N165" s="470"/>
      <c r="O165" s="430"/>
      <c r="P165" s="418"/>
    </row>
    <row r="166" spans="1:256" s="419" customFormat="1" x14ac:dyDescent="0.3">
      <c r="A166" s="427"/>
      <c r="B166" s="428" t="s">
        <v>57</v>
      </c>
      <c r="C166" s="428"/>
      <c r="D166" s="428"/>
      <c r="E166" s="428"/>
      <c r="F166" s="428"/>
      <c r="G166" s="428"/>
      <c r="H166" s="428"/>
      <c r="I166" s="428"/>
      <c r="J166" s="428"/>
      <c r="K166" s="470">
        <v>0</v>
      </c>
      <c r="L166" s="470">
        <f>+'Nov 17'!L168</f>
        <v>19642</v>
      </c>
      <c r="M166" s="428"/>
      <c r="N166" s="470">
        <f>K166+L166</f>
        <v>19642</v>
      </c>
      <c r="O166" s="430"/>
      <c r="P166" s="418"/>
    </row>
    <row r="167" spans="1:256" s="419" customFormat="1" x14ac:dyDescent="0.3">
      <c r="A167" s="427"/>
      <c r="B167" s="428" t="s">
        <v>58</v>
      </c>
      <c r="C167" s="428"/>
      <c r="D167" s="428"/>
      <c r="E167" s="428"/>
      <c r="F167" s="428"/>
      <c r="G167" s="428"/>
      <c r="H167" s="428"/>
      <c r="I167" s="428"/>
      <c r="J167" s="428"/>
      <c r="K167" s="469">
        <v>0</v>
      </c>
      <c r="L167" s="469">
        <f>-L107</f>
        <v>0</v>
      </c>
      <c r="M167" s="428"/>
      <c r="N167" s="470">
        <f>K167+L167</f>
        <v>0</v>
      </c>
      <c r="O167" s="430"/>
      <c r="P167" s="418"/>
    </row>
    <row r="168" spans="1:256" s="419" customFormat="1" x14ac:dyDescent="0.3">
      <c r="A168" s="427"/>
      <c r="B168" s="428" t="s">
        <v>59</v>
      </c>
      <c r="C168" s="428"/>
      <c r="D168" s="428"/>
      <c r="E168" s="428"/>
      <c r="F168" s="428"/>
      <c r="G168" s="428"/>
      <c r="H168" s="428"/>
      <c r="I168" s="428"/>
      <c r="J168" s="428"/>
      <c r="K168" s="470">
        <f>K166+K167</f>
        <v>0</v>
      </c>
      <c r="L168" s="470">
        <f>L167+L166</f>
        <v>19642</v>
      </c>
      <c r="M168" s="428"/>
      <c r="N168" s="470">
        <f>K168+L168</f>
        <v>19642</v>
      </c>
      <c r="O168" s="430"/>
      <c r="P168" s="418"/>
    </row>
    <row r="169" spans="1:256" s="419" customFormat="1" x14ac:dyDescent="0.3">
      <c r="A169" s="427"/>
      <c r="B169" s="428" t="s">
        <v>60</v>
      </c>
      <c r="C169" s="428"/>
      <c r="D169" s="428"/>
      <c r="E169" s="428"/>
      <c r="F169" s="428"/>
      <c r="G169" s="428"/>
      <c r="H169" s="428"/>
      <c r="I169" s="428"/>
      <c r="J169" s="428"/>
      <c r="K169" s="470" t="s">
        <v>117</v>
      </c>
      <c r="L169" s="449" t="s">
        <v>117</v>
      </c>
      <c r="M169" s="428"/>
      <c r="N169" s="470"/>
      <c r="O169" s="430"/>
      <c r="P169" s="418"/>
    </row>
    <row r="170" spans="1:256" ht="16.2" thickBot="1" x14ac:dyDescent="0.35">
      <c r="A170" s="404"/>
      <c r="B170" s="471"/>
      <c r="C170" s="471"/>
      <c r="D170" s="471"/>
      <c r="E170" s="471"/>
      <c r="F170" s="471"/>
      <c r="G170" s="471"/>
      <c r="H170" s="471"/>
      <c r="I170" s="471"/>
      <c r="J170" s="471"/>
      <c r="K170" s="471"/>
      <c r="L170" s="471"/>
      <c r="M170" s="471"/>
      <c r="N170" s="488"/>
      <c r="O170" s="471"/>
      <c r="P170" s="402"/>
    </row>
    <row r="171" spans="1:256" x14ac:dyDescent="0.3">
      <c r="A171" s="399"/>
      <c r="B171" s="401"/>
      <c r="C171" s="401"/>
      <c r="D171" s="401"/>
      <c r="E171" s="401"/>
      <c r="F171" s="401"/>
      <c r="G171" s="401"/>
      <c r="H171" s="401"/>
      <c r="I171" s="401"/>
      <c r="J171" s="401"/>
      <c r="K171" s="401"/>
      <c r="L171" s="401"/>
      <c r="M171" s="401"/>
      <c r="N171" s="491"/>
      <c r="O171" s="401"/>
      <c r="P171" s="402"/>
    </row>
    <row r="172" spans="1:256" x14ac:dyDescent="0.3">
      <c r="A172" s="404"/>
      <c r="B172" s="578" t="s">
        <v>61</v>
      </c>
      <c r="C172" s="406"/>
      <c r="D172" s="406"/>
      <c r="E172" s="406"/>
      <c r="F172" s="406"/>
      <c r="G172" s="406"/>
      <c r="H172" s="406"/>
      <c r="I172" s="406"/>
      <c r="J172" s="406"/>
      <c r="K172" s="406"/>
      <c r="L172" s="406"/>
      <c r="M172" s="406"/>
      <c r="N172" s="505"/>
      <c r="O172" s="406"/>
      <c r="P172" s="402"/>
    </row>
    <row r="173" spans="1:256" s="419" customFormat="1" x14ac:dyDescent="0.3">
      <c r="A173" s="427"/>
      <c r="B173" s="428" t="s">
        <v>62</v>
      </c>
      <c r="C173" s="428"/>
      <c r="D173" s="428"/>
      <c r="E173" s="428"/>
      <c r="F173" s="428"/>
      <c r="G173" s="428"/>
      <c r="H173" s="428"/>
      <c r="I173" s="428"/>
      <c r="J173" s="428"/>
      <c r="K173" s="428"/>
      <c r="L173" s="428"/>
      <c r="M173" s="428"/>
      <c r="N173" s="489">
        <f>(N87+N89+N90+N91+N92)/-N93</f>
        <v>8.3636363636363633</v>
      </c>
      <c r="O173" s="430" t="s">
        <v>115</v>
      </c>
      <c r="P173" s="418"/>
    </row>
    <row r="174" spans="1:256" s="419" customFormat="1" x14ac:dyDescent="0.3">
      <c r="A174" s="427"/>
      <c r="B174" s="428" t="s">
        <v>63</v>
      </c>
      <c r="C174" s="428"/>
      <c r="D174" s="428"/>
      <c r="E174" s="428"/>
      <c r="F174" s="428"/>
      <c r="G174" s="428"/>
      <c r="H174" s="428"/>
      <c r="I174" s="428"/>
      <c r="J174" s="428"/>
      <c r="K174" s="428"/>
      <c r="L174" s="428"/>
      <c r="M174" s="428"/>
      <c r="N174" s="506">
        <v>2.2400000000000002</v>
      </c>
      <c r="O174" s="430" t="s">
        <v>115</v>
      </c>
      <c r="P174" s="418"/>
    </row>
    <row r="175" spans="1:256" s="419" customFormat="1" x14ac:dyDescent="0.3">
      <c r="A175" s="427"/>
      <c r="B175" s="428" t="s">
        <v>64</v>
      </c>
      <c r="C175" s="428"/>
      <c r="D175" s="428"/>
      <c r="E175" s="428"/>
      <c r="F175" s="428"/>
      <c r="G175" s="428"/>
      <c r="H175" s="428"/>
      <c r="I175" s="428"/>
      <c r="J175" s="428"/>
      <c r="K175" s="428"/>
      <c r="L175" s="428"/>
      <c r="M175" s="428"/>
      <c r="N175" s="489">
        <f>(N87+N89+N90+N91+N92+N93)/-N95</f>
        <v>54</v>
      </c>
      <c r="O175" s="430" t="s">
        <v>115</v>
      </c>
      <c r="P175" s="418"/>
    </row>
    <row r="176" spans="1:256" s="419" customFormat="1" x14ac:dyDescent="0.3">
      <c r="A176" s="427"/>
      <c r="B176" s="428" t="s">
        <v>65</v>
      </c>
      <c r="C176" s="428"/>
      <c r="D176" s="428"/>
      <c r="E176" s="428"/>
      <c r="F176" s="428"/>
      <c r="G176" s="428"/>
      <c r="H176" s="428"/>
      <c r="I176" s="428"/>
      <c r="J176" s="428"/>
      <c r="K176" s="428"/>
      <c r="L176" s="428"/>
      <c r="M176" s="428"/>
      <c r="N176" s="506">
        <v>51.53</v>
      </c>
      <c r="O176" s="430" t="s">
        <v>115</v>
      </c>
      <c r="P176" s="418"/>
    </row>
    <row r="177" spans="1:16" s="419" customFormat="1" x14ac:dyDescent="0.3">
      <c r="A177" s="427"/>
      <c r="B177" s="428" t="s">
        <v>166</v>
      </c>
      <c r="C177" s="428"/>
      <c r="D177" s="428"/>
      <c r="E177" s="428"/>
      <c r="F177" s="428"/>
      <c r="G177" s="428"/>
      <c r="H177" s="428"/>
      <c r="I177" s="428"/>
      <c r="J177" s="428"/>
      <c r="K177" s="428"/>
      <c r="L177" s="428"/>
      <c r="M177" s="428"/>
      <c r="N177" s="489">
        <f>(N87+N89+N90+N91+N92+N93+N95)/-N96</f>
        <v>39.75</v>
      </c>
      <c r="O177" s="430" t="s">
        <v>115</v>
      </c>
      <c r="P177" s="418"/>
    </row>
    <row r="178" spans="1:16" s="419" customFormat="1" x14ac:dyDescent="0.3">
      <c r="A178" s="427"/>
      <c r="B178" s="428" t="s">
        <v>167</v>
      </c>
      <c r="C178" s="428"/>
      <c r="D178" s="428"/>
      <c r="E178" s="428"/>
      <c r="F178" s="428"/>
      <c r="G178" s="428"/>
      <c r="H178" s="428"/>
      <c r="I178" s="428"/>
      <c r="J178" s="428"/>
      <c r="K178" s="428"/>
      <c r="L178" s="428"/>
      <c r="M178" s="428"/>
      <c r="N178" s="506">
        <v>48.16</v>
      </c>
      <c r="O178" s="430" t="s">
        <v>115</v>
      </c>
      <c r="P178" s="418"/>
    </row>
    <row r="179" spans="1:16" s="419" customFormat="1" x14ac:dyDescent="0.3">
      <c r="A179" s="507"/>
      <c r="B179" s="508"/>
      <c r="C179" s="508"/>
      <c r="D179" s="508"/>
      <c r="E179" s="508"/>
      <c r="F179" s="508"/>
      <c r="G179" s="508"/>
      <c r="H179" s="508"/>
      <c r="I179" s="508"/>
      <c r="J179" s="508"/>
      <c r="K179" s="508"/>
      <c r="L179" s="508"/>
      <c r="M179" s="508"/>
      <c r="N179" s="508"/>
      <c r="O179" s="509"/>
      <c r="P179" s="418"/>
    </row>
    <row r="180" spans="1:16" s="419" customFormat="1" x14ac:dyDescent="0.3">
      <c r="A180" s="415"/>
      <c r="B180" s="458"/>
      <c r="C180" s="458"/>
      <c r="D180" s="458"/>
      <c r="E180" s="458"/>
      <c r="F180" s="458"/>
      <c r="G180" s="458"/>
      <c r="H180" s="458"/>
      <c r="I180" s="458"/>
      <c r="J180" s="458"/>
      <c r="K180" s="458"/>
      <c r="L180" s="458"/>
      <c r="M180" s="458"/>
      <c r="N180" s="458"/>
      <c r="O180" s="458"/>
      <c r="P180" s="418"/>
    </row>
    <row r="181" spans="1:16" s="419" customFormat="1" x14ac:dyDescent="0.3">
      <c r="A181" s="415"/>
      <c r="B181" s="416"/>
      <c r="C181" s="416"/>
      <c r="D181" s="416"/>
      <c r="E181" s="416"/>
      <c r="F181" s="416"/>
      <c r="G181" s="416"/>
      <c r="H181" s="416"/>
      <c r="I181" s="416"/>
      <c r="J181" s="416"/>
      <c r="K181" s="416"/>
      <c r="L181" s="416"/>
      <c r="M181" s="416"/>
      <c r="N181" s="416"/>
      <c r="O181" s="416"/>
      <c r="P181" s="418"/>
    </row>
    <row r="182" spans="1:16" s="419" customFormat="1" ht="18.600000000000001" thickBot="1" x14ac:dyDescent="0.4">
      <c r="A182" s="463"/>
      <c r="B182" s="464" t="str">
        <f>B115</f>
        <v>FF7 INVESTOR REPORT QUARTER ENDING FEBRUARY 2018</v>
      </c>
      <c r="C182" s="465"/>
      <c r="D182" s="465"/>
      <c r="E182" s="465"/>
      <c r="F182" s="465"/>
      <c r="G182" s="465"/>
      <c r="H182" s="465"/>
      <c r="I182" s="465"/>
      <c r="J182" s="465"/>
      <c r="K182" s="465"/>
      <c r="L182" s="465"/>
      <c r="M182" s="465"/>
      <c r="N182" s="465"/>
      <c r="O182" s="467"/>
      <c r="P182" s="418"/>
    </row>
    <row r="183" spans="1:16" x14ac:dyDescent="0.3">
      <c r="A183" s="603"/>
      <c r="B183" s="604" t="s">
        <v>66</v>
      </c>
      <c r="C183" s="607"/>
      <c r="D183" s="608"/>
      <c r="E183" s="608"/>
      <c r="F183" s="608"/>
      <c r="G183" s="608"/>
      <c r="H183" s="608"/>
      <c r="I183" s="608"/>
      <c r="J183" s="608"/>
      <c r="K183" s="608"/>
      <c r="L183" s="608">
        <v>43159</v>
      </c>
      <c r="M183" s="605"/>
      <c r="N183" s="605"/>
      <c r="O183" s="605"/>
      <c r="P183" s="402"/>
    </row>
    <row r="184" spans="1:16" x14ac:dyDescent="0.3">
      <c r="A184" s="510"/>
      <c r="B184" s="511"/>
      <c r="C184" s="512"/>
      <c r="D184" s="513"/>
      <c r="E184" s="513"/>
      <c r="F184" s="513"/>
      <c r="G184" s="513"/>
      <c r="H184" s="513"/>
      <c r="I184" s="513"/>
      <c r="J184" s="513"/>
      <c r="K184" s="513"/>
      <c r="L184" s="513"/>
      <c r="M184" s="478"/>
      <c r="N184" s="478"/>
      <c r="O184" s="478"/>
      <c r="P184" s="402"/>
    </row>
    <row r="185" spans="1:16" s="419" customFormat="1" x14ac:dyDescent="0.3">
      <c r="A185" s="427"/>
      <c r="B185" s="428" t="s">
        <v>67</v>
      </c>
      <c r="C185" s="514"/>
      <c r="D185" s="452"/>
      <c r="E185" s="452"/>
      <c r="F185" s="452"/>
      <c r="G185" s="452"/>
      <c r="H185" s="452"/>
      <c r="I185" s="452"/>
      <c r="J185" s="452"/>
      <c r="K185" s="452"/>
      <c r="L185" s="446">
        <v>7.2950000000000001E-2</v>
      </c>
      <c r="M185" s="428"/>
      <c r="N185" s="428"/>
      <c r="O185" s="430"/>
      <c r="P185" s="418"/>
    </row>
    <row r="186" spans="1:16" s="419" customFormat="1" x14ac:dyDescent="0.3">
      <c r="A186" s="427"/>
      <c r="B186" s="428" t="s">
        <v>213</v>
      </c>
      <c r="C186" s="514"/>
      <c r="D186" s="452"/>
      <c r="E186" s="452"/>
      <c r="F186" s="452"/>
      <c r="G186" s="452"/>
      <c r="H186" s="452"/>
      <c r="I186" s="452"/>
      <c r="J186" s="452"/>
      <c r="K186" s="452"/>
      <c r="L186" s="446">
        <v>5.79E-2</v>
      </c>
      <c r="M186" s="428"/>
      <c r="N186" s="428"/>
      <c r="O186" s="430"/>
      <c r="P186" s="418"/>
    </row>
    <row r="187" spans="1:16" s="419" customFormat="1" x14ac:dyDescent="0.3">
      <c r="A187" s="427"/>
      <c r="B187" s="428" t="s">
        <v>68</v>
      </c>
      <c r="C187" s="514"/>
      <c r="D187" s="452"/>
      <c r="E187" s="452"/>
      <c r="F187" s="452"/>
      <c r="G187" s="452"/>
      <c r="H187" s="452"/>
      <c r="I187" s="452"/>
      <c r="J187" s="452"/>
      <c r="K187" s="452"/>
      <c r="L187" s="446">
        <f>L185-L186</f>
        <v>1.5050000000000001E-2</v>
      </c>
      <c r="M187" s="428"/>
      <c r="N187" s="428"/>
      <c r="O187" s="430"/>
      <c r="P187" s="418"/>
    </row>
    <row r="188" spans="1:16" s="419" customFormat="1" x14ac:dyDescent="0.3">
      <c r="A188" s="427"/>
      <c r="B188" s="428" t="s">
        <v>69</v>
      </c>
      <c r="C188" s="514"/>
      <c r="D188" s="452"/>
      <c r="E188" s="452"/>
      <c r="F188" s="452"/>
      <c r="G188" s="452"/>
      <c r="H188" s="452"/>
      <c r="I188" s="452"/>
      <c r="J188" s="452"/>
      <c r="K188" s="452"/>
      <c r="L188" s="446">
        <v>4.2090000000000002E-2</v>
      </c>
      <c r="M188" s="428"/>
      <c r="N188" s="428"/>
      <c r="O188" s="430"/>
      <c r="P188" s="418"/>
    </row>
    <row r="189" spans="1:16" s="419" customFormat="1" x14ac:dyDescent="0.3">
      <c r="A189" s="427"/>
      <c r="B189" s="428" t="s">
        <v>212</v>
      </c>
      <c r="C189" s="514"/>
      <c r="D189" s="452"/>
      <c r="E189" s="452"/>
      <c r="F189" s="452"/>
      <c r="G189" s="452"/>
      <c r="H189" s="452"/>
      <c r="I189" s="452"/>
      <c r="J189" s="452"/>
      <c r="K189" s="452"/>
      <c r="L189" s="446">
        <f>N34</f>
        <v>8.0351846041972954E-3</v>
      </c>
      <c r="M189" s="428"/>
      <c r="N189" s="428"/>
      <c r="O189" s="430"/>
      <c r="P189" s="418"/>
    </row>
    <row r="190" spans="1:16" s="419" customFormat="1" x14ac:dyDescent="0.3">
      <c r="A190" s="427"/>
      <c r="B190" s="428" t="s">
        <v>70</v>
      </c>
      <c r="C190" s="514"/>
      <c r="D190" s="452"/>
      <c r="E190" s="452"/>
      <c r="F190" s="452"/>
      <c r="G190" s="452"/>
      <c r="H190" s="452"/>
      <c r="I190" s="452"/>
      <c r="J190" s="452"/>
      <c r="K190" s="452"/>
      <c r="L190" s="446">
        <f>L188-L189</f>
        <v>3.4054815395802705E-2</v>
      </c>
      <c r="M190" s="428"/>
      <c r="N190" s="428"/>
      <c r="O190" s="430"/>
      <c r="P190" s="418"/>
    </row>
    <row r="191" spans="1:16" s="419" customFormat="1" x14ac:dyDescent="0.3">
      <c r="A191" s="427"/>
      <c r="B191" s="428" t="s">
        <v>203</v>
      </c>
      <c r="C191" s="514"/>
      <c r="D191" s="452"/>
      <c r="E191" s="452"/>
      <c r="F191" s="452"/>
      <c r="G191" s="452"/>
      <c r="H191" s="452"/>
      <c r="I191" s="452"/>
      <c r="J191" s="452"/>
      <c r="K191" s="452"/>
      <c r="L191" s="446">
        <f>+N87/F59</f>
        <v>1.4350858369098713E-2</v>
      </c>
      <c r="M191" s="428"/>
      <c r="N191" s="428"/>
      <c r="O191" s="430"/>
      <c r="P191" s="418"/>
    </row>
    <row r="192" spans="1:16" s="419" customFormat="1" x14ac:dyDescent="0.3">
      <c r="A192" s="427"/>
      <c r="B192" s="428" t="s">
        <v>171</v>
      </c>
      <c r="C192" s="514"/>
      <c r="D192" s="452"/>
      <c r="E192" s="452"/>
      <c r="F192" s="452"/>
      <c r="G192" s="452"/>
      <c r="H192" s="452"/>
      <c r="I192" s="452"/>
      <c r="J192" s="452"/>
      <c r="K192" s="452"/>
      <c r="L192" s="515">
        <v>48823</v>
      </c>
      <c r="M192" s="428"/>
      <c r="N192" s="428"/>
      <c r="O192" s="430"/>
      <c r="P192" s="418"/>
    </row>
    <row r="193" spans="1:16" s="419" customFormat="1" x14ac:dyDescent="0.3">
      <c r="A193" s="427"/>
      <c r="B193" s="428" t="s">
        <v>172</v>
      </c>
      <c r="C193" s="514"/>
      <c r="D193" s="452"/>
      <c r="E193" s="452"/>
      <c r="F193" s="452"/>
      <c r="G193" s="452"/>
      <c r="H193" s="452"/>
      <c r="I193" s="452"/>
      <c r="J193" s="452"/>
      <c r="K193" s="452"/>
      <c r="L193" s="515">
        <v>48823</v>
      </c>
      <c r="M193" s="428"/>
      <c r="N193" s="428"/>
      <c r="O193" s="430"/>
      <c r="P193" s="418"/>
    </row>
    <row r="194" spans="1:16" s="419" customFormat="1" x14ac:dyDescent="0.3">
      <c r="A194" s="427"/>
      <c r="B194" s="428" t="s">
        <v>173</v>
      </c>
      <c r="C194" s="514"/>
      <c r="D194" s="452"/>
      <c r="E194" s="452"/>
      <c r="F194" s="452"/>
      <c r="G194" s="452"/>
      <c r="H194" s="452"/>
      <c r="I194" s="452"/>
      <c r="J194" s="452"/>
      <c r="K194" s="452"/>
      <c r="L194" s="515">
        <v>48823</v>
      </c>
      <c r="M194" s="428"/>
      <c r="N194" s="428"/>
      <c r="O194" s="430"/>
      <c r="P194" s="418"/>
    </row>
    <row r="195" spans="1:16" s="419" customFormat="1" x14ac:dyDescent="0.3">
      <c r="A195" s="427"/>
      <c r="B195" s="428" t="s">
        <v>71</v>
      </c>
      <c r="C195" s="514"/>
      <c r="D195" s="452"/>
      <c r="E195" s="452"/>
      <c r="F195" s="452"/>
      <c r="G195" s="452"/>
      <c r="H195" s="452"/>
      <c r="I195" s="452"/>
      <c r="J195" s="452"/>
      <c r="K195" s="452"/>
      <c r="L195" s="450">
        <v>9.93</v>
      </c>
      <c r="M195" s="428" t="s">
        <v>110</v>
      </c>
      <c r="N195" s="428"/>
      <c r="O195" s="430"/>
      <c r="P195" s="418"/>
    </row>
    <row r="196" spans="1:16" s="419" customFormat="1" x14ac:dyDescent="0.3">
      <c r="A196" s="427"/>
      <c r="B196" s="428" t="s">
        <v>72</v>
      </c>
      <c r="C196" s="514"/>
      <c r="D196" s="452"/>
      <c r="E196" s="452"/>
      <c r="F196" s="452"/>
      <c r="G196" s="452"/>
      <c r="H196" s="452"/>
      <c r="I196" s="452"/>
      <c r="J196" s="452"/>
      <c r="K196" s="452"/>
      <c r="L196" s="450">
        <v>4.25</v>
      </c>
      <c r="M196" s="428" t="s">
        <v>110</v>
      </c>
      <c r="N196" s="428"/>
      <c r="O196" s="430"/>
      <c r="P196" s="418"/>
    </row>
    <row r="197" spans="1:16" s="419" customFormat="1" x14ac:dyDescent="0.3">
      <c r="A197" s="427"/>
      <c r="B197" s="428" t="s">
        <v>73</v>
      </c>
      <c r="C197" s="514"/>
      <c r="D197" s="452"/>
      <c r="E197" s="452"/>
      <c r="F197" s="452"/>
      <c r="G197" s="452"/>
      <c r="H197" s="452"/>
      <c r="I197" s="452"/>
      <c r="J197" s="452"/>
      <c r="K197" s="452"/>
      <c r="L197" s="446">
        <f>+H56/F56</f>
        <v>7.121681714054709E-2</v>
      </c>
      <c r="M197" s="428"/>
      <c r="N197" s="428"/>
      <c r="O197" s="430"/>
      <c r="P197" s="418"/>
    </row>
    <row r="198" spans="1:16" s="419" customFormat="1" x14ac:dyDescent="0.3">
      <c r="A198" s="427"/>
      <c r="B198" s="428" t="s">
        <v>74</v>
      </c>
      <c r="C198" s="514"/>
      <c r="D198" s="452"/>
      <c r="E198" s="452"/>
      <c r="F198" s="452"/>
      <c r="G198" s="452"/>
      <c r="H198" s="452"/>
      <c r="I198" s="452"/>
      <c r="J198" s="452"/>
      <c r="K198" s="452"/>
      <c r="L198" s="446">
        <v>0.26960000000000001</v>
      </c>
      <c r="M198" s="428"/>
      <c r="N198" s="428"/>
      <c r="O198" s="430"/>
      <c r="P198" s="418"/>
    </row>
    <row r="199" spans="1:16" x14ac:dyDescent="0.3">
      <c r="A199" s="510"/>
      <c r="B199" s="476"/>
      <c r="C199" s="476"/>
      <c r="D199" s="476"/>
      <c r="E199" s="476"/>
      <c r="F199" s="476"/>
      <c r="G199" s="476"/>
      <c r="H199" s="476"/>
      <c r="I199" s="476"/>
      <c r="J199" s="476"/>
      <c r="K199" s="476"/>
      <c r="L199" s="516"/>
      <c r="M199" s="476"/>
      <c r="N199" s="517"/>
      <c r="O199" s="476"/>
      <c r="P199" s="402"/>
    </row>
    <row r="200" spans="1:16" x14ac:dyDescent="0.3">
      <c r="A200" s="609"/>
      <c r="B200" s="599" t="s">
        <v>75</v>
      </c>
      <c r="C200" s="601"/>
      <c r="D200" s="601"/>
      <c r="E200" s="601"/>
      <c r="F200" s="601"/>
      <c r="G200" s="601"/>
      <c r="H200" s="601"/>
      <c r="I200" s="601"/>
      <c r="J200" s="601"/>
      <c r="K200" s="601" t="s">
        <v>99</v>
      </c>
      <c r="L200" s="615" t="s">
        <v>106</v>
      </c>
      <c r="M200" s="591"/>
      <c r="N200" s="591"/>
      <c r="O200" s="594"/>
      <c r="P200" s="402"/>
    </row>
    <row r="201" spans="1:16" s="419" customFormat="1" x14ac:dyDescent="0.3">
      <c r="A201" s="610"/>
      <c r="B201" s="588" t="s">
        <v>76</v>
      </c>
      <c r="C201" s="597"/>
      <c r="D201" s="611"/>
      <c r="E201" s="611"/>
      <c r="F201" s="611"/>
      <c r="G201" s="611"/>
      <c r="H201" s="611"/>
      <c r="I201" s="611"/>
      <c r="J201" s="611"/>
      <c r="K201" s="611">
        <v>6</v>
      </c>
      <c r="L201" s="612">
        <v>339</v>
      </c>
      <c r="M201" s="588"/>
      <c r="N201" s="613"/>
      <c r="O201" s="614"/>
      <c r="P201" s="418"/>
    </row>
    <row r="202" spans="1:16" s="419" customFormat="1" x14ac:dyDescent="0.3">
      <c r="A202" s="518"/>
      <c r="B202" s="428" t="s">
        <v>136</v>
      </c>
      <c r="C202" s="469"/>
      <c r="D202" s="434"/>
      <c r="E202" s="434"/>
      <c r="F202" s="434"/>
      <c r="G202" s="434"/>
      <c r="H202" s="434"/>
      <c r="I202" s="434"/>
      <c r="J202" s="434"/>
      <c r="K202" s="522">
        <f>+J269</f>
        <v>0</v>
      </c>
      <c r="L202" s="519">
        <f>+L269</f>
        <v>0</v>
      </c>
      <c r="M202" s="428"/>
      <c r="N202" s="520"/>
      <c r="O202" s="521"/>
      <c r="P202" s="418"/>
    </row>
    <row r="203" spans="1:16" s="419" customFormat="1" x14ac:dyDescent="0.3">
      <c r="A203" s="518"/>
      <c r="B203" s="428" t="s">
        <v>77</v>
      </c>
      <c r="C203" s="469"/>
      <c r="D203" s="434"/>
      <c r="E203" s="434"/>
      <c r="F203" s="434"/>
      <c r="G203" s="434"/>
      <c r="H203" s="434"/>
      <c r="I203" s="434"/>
      <c r="J203" s="434"/>
      <c r="K203" s="522">
        <f>+J286</f>
        <v>0</v>
      </c>
      <c r="L203" s="519">
        <f>+L286</f>
        <v>0</v>
      </c>
      <c r="M203" s="428"/>
      <c r="N203" s="520"/>
      <c r="O203" s="521"/>
      <c r="P203" s="418"/>
    </row>
    <row r="204" spans="1:16" x14ac:dyDescent="0.3">
      <c r="A204" s="523"/>
      <c r="B204" s="562" t="s">
        <v>78</v>
      </c>
      <c r="C204" s="524"/>
      <c r="D204" s="443"/>
      <c r="E204" s="443"/>
      <c r="F204" s="443"/>
      <c r="G204" s="443"/>
      <c r="H204" s="443"/>
      <c r="I204" s="443"/>
      <c r="J204" s="443"/>
      <c r="K204" s="443"/>
      <c r="L204" s="519">
        <v>0</v>
      </c>
      <c r="M204" s="443"/>
      <c r="N204" s="525"/>
      <c r="O204" s="526"/>
      <c r="P204" s="402"/>
    </row>
    <row r="205" spans="1:16" x14ac:dyDescent="0.3">
      <c r="A205" s="523"/>
      <c r="B205" s="562" t="s">
        <v>79</v>
      </c>
      <c r="C205" s="524"/>
      <c r="D205" s="443"/>
      <c r="E205" s="443"/>
      <c r="F205" s="443"/>
      <c r="G205" s="443"/>
      <c r="H205" s="443"/>
      <c r="I205" s="443"/>
      <c r="J205" s="443"/>
      <c r="K205" s="443"/>
      <c r="L205" s="527" t="s">
        <v>107</v>
      </c>
      <c r="M205" s="443"/>
      <c r="N205" s="525"/>
      <c r="O205" s="526"/>
      <c r="P205" s="402"/>
    </row>
    <row r="206" spans="1:16" x14ac:dyDescent="0.3">
      <c r="A206" s="528"/>
      <c r="B206" s="562" t="s">
        <v>80</v>
      </c>
      <c r="C206" s="529"/>
      <c r="D206" s="443"/>
      <c r="E206" s="443"/>
      <c r="F206" s="443"/>
      <c r="G206" s="443"/>
      <c r="H206" s="443"/>
      <c r="I206" s="443"/>
      <c r="J206" s="443"/>
      <c r="K206" s="443"/>
      <c r="L206" s="530"/>
      <c r="M206" s="443"/>
      <c r="N206" s="525"/>
      <c r="O206" s="531"/>
      <c r="P206" s="402"/>
    </row>
    <row r="207" spans="1:16" s="419" customFormat="1" x14ac:dyDescent="0.3">
      <c r="A207" s="532"/>
      <c r="B207" s="428" t="s">
        <v>81</v>
      </c>
      <c r="C207" s="428"/>
      <c r="D207" s="428"/>
      <c r="E207" s="428"/>
      <c r="F207" s="428"/>
      <c r="G207" s="428"/>
      <c r="H207" s="428"/>
      <c r="I207" s="428"/>
      <c r="J207" s="428"/>
      <c r="K207" s="434"/>
      <c r="L207" s="519">
        <f>N144</f>
        <v>0</v>
      </c>
      <c r="M207" s="428"/>
      <c r="N207" s="520"/>
      <c r="O207" s="533"/>
      <c r="P207" s="418"/>
    </row>
    <row r="208" spans="1:16" s="419" customFormat="1" x14ac:dyDescent="0.3">
      <c r="A208" s="518"/>
      <c r="B208" s="428" t="s">
        <v>82</v>
      </c>
      <c r="C208" s="469"/>
      <c r="D208" s="428"/>
      <c r="E208" s="428"/>
      <c r="F208" s="428"/>
      <c r="G208" s="428"/>
      <c r="H208" s="428"/>
      <c r="I208" s="428"/>
      <c r="J208" s="428"/>
      <c r="K208" s="434"/>
      <c r="L208" s="519">
        <f>'Nov 17'!L208+L207</f>
        <v>216</v>
      </c>
      <c r="M208" s="428"/>
      <c r="N208" s="520"/>
      <c r="O208" s="533"/>
      <c r="P208" s="418"/>
    </row>
    <row r="209" spans="1:17" x14ac:dyDescent="0.3">
      <c r="A209" s="528"/>
      <c r="B209" s="562" t="s">
        <v>253</v>
      </c>
      <c r="C209" s="529"/>
      <c r="D209" s="443"/>
      <c r="E209" s="443"/>
      <c r="F209" s="443"/>
      <c r="G209" s="443"/>
      <c r="H209" s="443"/>
      <c r="I209" s="443"/>
      <c r="J209" s="443"/>
      <c r="K209" s="444"/>
      <c r="L209" s="530"/>
      <c r="M209" s="443"/>
      <c r="N209" s="525"/>
      <c r="O209" s="531"/>
      <c r="P209" s="402"/>
    </row>
    <row r="210" spans="1:17" s="419" customFormat="1" x14ac:dyDescent="0.3">
      <c r="A210" s="532"/>
      <c r="B210" s="428" t="s">
        <v>250</v>
      </c>
      <c r="C210" s="428"/>
      <c r="D210" s="428"/>
      <c r="E210" s="428"/>
      <c r="F210" s="428"/>
      <c r="G210" s="428"/>
      <c r="H210" s="428"/>
      <c r="I210" s="428"/>
      <c r="J210" s="428"/>
      <c r="K210" s="434">
        <v>1</v>
      </c>
      <c r="L210" s="519">
        <v>93</v>
      </c>
      <c r="M210" s="428"/>
      <c r="N210" s="520"/>
      <c r="O210" s="533"/>
      <c r="P210" s="418"/>
    </row>
    <row r="211" spans="1:17" s="419" customFormat="1" x14ac:dyDescent="0.3">
      <c r="A211" s="518"/>
      <c r="B211" s="428" t="s">
        <v>83</v>
      </c>
      <c r="C211" s="449"/>
      <c r="D211" s="428"/>
      <c r="E211" s="428"/>
      <c r="F211" s="428"/>
      <c r="G211" s="428"/>
      <c r="H211" s="428"/>
      <c r="I211" s="428"/>
      <c r="J211" s="428"/>
      <c r="K211" s="428"/>
      <c r="L211" s="527">
        <v>5.7</v>
      </c>
      <c r="M211" s="428"/>
      <c r="N211" s="520"/>
      <c r="O211" s="533"/>
      <c r="P211" s="418"/>
    </row>
    <row r="212" spans="1:17" s="419" customFormat="1" x14ac:dyDescent="0.3">
      <c r="A212" s="518"/>
      <c r="B212" s="428" t="s">
        <v>84</v>
      </c>
      <c r="C212" s="449"/>
      <c r="D212" s="428"/>
      <c r="E212" s="428"/>
      <c r="F212" s="428"/>
      <c r="G212" s="428"/>
      <c r="H212" s="428"/>
      <c r="I212" s="428"/>
      <c r="J212" s="428"/>
      <c r="K212" s="428"/>
      <c r="L212" s="527">
        <v>9.7899999999999991</v>
      </c>
      <c r="M212" s="428"/>
      <c r="N212" s="520"/>
      <c r="O212" s="533"/>
      <c r="P212" s="418"/>
    </row>
    <row r="213" spans="1:17" x14ac:dyDescent="0.3">
      <c r="A213" s="523"/>
      <c r="B213" s="562" t="s">
        <v>177</v>
      </c>
      <c r="C213" s="534"/>
      <c r="D213" s="443"/>
      <c r="E213" s="443"/>
      <c r="F213" s="443"/>
      <c r="G213" s="443"/>
      <c r="H213" s="443"/>
      <c r="I213" s="443"/>
      <c r="J213" s="443"/>
      <c r="K213" s="443"/>
      <c r="L213" s="535"/>
      <c r="M213" s="443"/>
      <c r="N213" s="525"/>
      <c r="O213" s="531"/>
      <c r="P213" s="402"/>
    </row>
    <row r="214" spans="1:17" s="419" customFormat="1" x14ac:dyDescent="0.3">
      <c r="A214" s="518"/>
      <c r="B214" s="428" t="s">
        <v>250</v>
      </c>
      <c r="C214" s="449"/>
      <c r="D214" s="428"/>
      <c r="E214" s="428"/>
      <c r="F214" s="428"/>
      <c r="G214" s="428"/>
      <c r="H214" s="428"/>
      <c r="I214" s="428"/>
      <c r="J214" s="428"/>
      <c r="K214" s="434">
        <v>0</v>
      </c>
      <c r="L214" s="519">
        <v>0</v>
      </c>
      <c r="M214" s="428"/>
      <c r="N214" s="520"/>
      <c r="O214" s="533"/>
      <c r="P214" s="418"/>
    </row>
    <row r="215" spans="1:17" s="419" customFormat="1" x14ac:dyDescent="0.3">
      <c r="A215" s="518"/>
      <c r="B215" s="428" t="s">
        <v>178</v>
      </c>
      <c r="C215" s="449"/>
      <c r="D215" s="428"/>
      <c r="E215" s="428"/>
      <c r="F215" s="428"/>
      <c r="G215" s="428"/>
      <c r="H215" s="428"/>
      <c r="I215" s="428"/>
      <c r="J215" s="428"/>
      <c r="K215" s="428"/>
      <c r="L215" s="527">
        <v>0</v>
      </c>
      <c r="M215" s="428"/>
      <c r="N215" s="520"/>
      <c r="O215" s="533"/>
      <c r="P215" s="418"/>
    </row>
    <row r="216" spans="1:17" x14ac:dyDescent="0.3">
      <c r="A216" s="523"/>
      <c r="B216" s="529"/>
      <c r="C216" s="534"/>
      <c r="D216" s="443"/>
      <c r="E216" s="443"/>
      <c r="F216" s="443"/>
      <c r="G216" s="443"/>
      <c r="H216" s="443"/>
      <c r="I216" s="443"/>
      <c r="J216" s="443"/>
      <c r="K216" s="443"/>
      <c r="L216" s="535"/>
      <c r="M216" s="443"/>
      <c r="N216" s="525"/>
      <c r="O216" s="531"/>
      <c r="P216" s="402"/>
    </row>
    <row r="217" spans="1:17" x14ac:dyDescent="0.3">
      <c r="A217" s="523"/>
      <c r="B217" s="529"/>
      <c r="C217" s="534"/>
      <c r="D217" s="443"/>
      <c r="E217" s="443"/>
      <c r="F217" s="443"/>
      <c r="G217" s="443"/>
      <c r="H217" s="443"/>
      <c r="I217" s="443"/>
      <c r="J217" s="443"/>
      <c r="K217" s="443"/>
      <c r="L217" s="535"/>
      <c r="M217" s="443"/>
      <c r="N217" s="525"/>
      <c r="O217" s="531"/>
      <c r="P217" s="402"/>
    </row>
    <row r="218" spans="1:17" ht="18" x14ac:dyDescent="0.35">
      <c r="A218" s="523"/>
      <c r="B218" s="582" t="s">
        <v>294</v>
      </c>
      <c r="C218" s="534"/>
      <c r="D218" s="443"/>
      <c r="E218" s="583"/>
      <c r="F218" s="443"/>
      <c r="G218" s="443"/>
      <c r="H218" s="536"/>
      <c r="I218" s="443"/>
      <c r="J218" s="443"/>
      <c r="K218" s="584" t="s">
        <v>293</v>
      </c>
      <c r="L218" s="535"/>
      <c r="M218" s="443"/>
      <c r="N218" s="525"/>
      <c r="O218" s="531"/>
      <c r="P218" s="402"/>
    </row>
    <row r="219" spans="1:17" ht="18" x14ac:dyDescent="0.35">
      <c r="A219" s="537"/>
      <c r="B219" s="538"/>
      <c r="C219" s="539"/>
      <c r="D219" s="471"/>
      <c r="E219" s="471"/>
      <c r="F219" s="471"/>
      <c r="G219" s="471"/>
      <c r="H219" s="540"/>
      <c r="I219" s="471"/>
      <c r="J219" s="471"/>
      <c r="K219" s="471"/>
      <c r="L219" s="541"/>
      <c r="M219" s="471"/>
      <c r="N219" s="542"/>
      <c r="O219" s="543"/>
      <c r="P219" s="402"/>
    </row>
    <row r="220" spans="1:17" x14ac:dyDescent="0.3">
      <c r="A220" s="585"/>
      <c r="B220" s="599" t="s">
        <v>258</v>
      </c>
      <c r="C220" s="601"/>
      <c r="D220" s="601"/>
      <c r="E220" s="601"/>
      <c r="F220" s="601"/>
      <c r="G220" s="601"/>
      <c r="H220" s="601"/>
      <c r="I220" s="601"/>
      <c r="J220" s="619" t="s">
        <v>99</v>
      </c>
      <c r="K220" s="601" t="s">
        <v>100</v>
      </c>
      <c r="L220" s="615" t="s">
        <v>108</v>
      </c>
      <c r="M220" s="601" t="s">
        <v>100</v>
      </c>
      <c r="N220" s="591"/>
      <c r="O220" s="620"/>
      <c r="P220" s="402"/>
    </row>
    <row r="221" spans="1:17" s="419" customFormat="1" x14ac:dyDescent="0.3">
      <c r="A221" s="587"/>
      <c r="B221" s="597" t="s">
        <v>85</v>
      </c>
      <c r="C221" s="616"/>
      <c r="D221" s="616"/>
      <c r="E221" s="616"/>
      <c r="F221" s="616"/>
      <c r="G221" s="616"/>
      <c r="H221" s="616"/>
      <c r="I221" s="616"/>
      <c r="J221" s="597">
        <f t="shared" ref="J221:J233" si="1">+J238+J255+J272</f>
        <v>363</v>
      </c>
      <c r="K221" s="617">
        <f t="shared" ref="K221:K233" si="2">J221/$J$235</f>
        <v>0.94041450777202074</v>
      </c>
      <c r="L221" s="598">
        <f t="shared" ref="L221:L233" si="3">+L238+L255+L272</f>
        <v>12913</v>
      </c>
      <c r="M221" s="617">
        <f t="shared" ref="M221:M233" si="4">L221/$L$235</f>
        <v>0.93674283641639466</v>
      </c>
      <c r="N221" s="613"/>
      <c r="O221" s="618"/>
      <c r="P221" s="418"/>
    </row>
    <row r="222" spans="1:17" s="419" customFormat="1" x14ac:dyDescent="0.3">
      <c r="A222" s="427"/>
      <c r="B222" s="469" t="s">
        <v>86</v>
      </c>
      <c r="C222" s="544"/>
      <c r="D222" s="544"/>
      <c r="E222" s="544"/>
      <c r="F222" s="544"/>
      <c r="G222" s="544"/>
      <c r="H222" s="544"/>
      <c r="I222" s="544"/>
      <c r="J222" s="469">
        <f t="shared" si="1"/>
        <v>8</v>
      </c>
      <c r="K222" s="545">
        <f t="shared" si="2"/>
        <v>2.072538860103627E-2</v>
      </c>
      <c r="L222" s="470">
        <f t="shared" si="3"/>
        <v>339</v>
      </c>
      <c r="M222" s="545">
        <f t="shared" si="4"/>
        <v>2.4591947769314473E-2</v>
      </c>
      <c r="N222" s="520"/>
      <c r="O222" s="533"/>
      <c r="P222" s="418"/>
      <c r="Q222" s="482"/>
    </row>
    <row r="223" spans="1:17" s="419" customFormat="1" x14ac:dyDescent="0.3">
      <c r="A223" s="427"/>
      <c r="B223" s="469" t="s">
        <v>87</v>
      </c>
      <c r="C223" s="544"/>
      <c r="D223" s="544"/>
      <c r="E223" s="544"/>
      <c r="F223" s="544"/>
      <c r="G223" s="544"/>
      <c r="H223" s="544"/>
      <c r="I223" s="544"/>
      <c r="J223" s="469">
        <f t="shared" si="1"/>
        <v>3</v>
      </c>
      <c r="K223" s="545">
        <f t="shared" si="2"/>
        <v>7.7720207253886009E-3</v>
      </c>
      <c r="L223" s="470">
        <f t="shared" si="3"/>
        <v>79</v>
      </c>
      <c r="M223" s="545">
        <f t="shared" si="4"/>
        <v>5.7308668842945233E-3</v>
      </c>
      <c r="N223" s="520"/>
      <c r="O223" s="533"/>
      <c r="P223" s="418"/>
    </row>
    <row r="224" spans="1:17" s="419" customFormat="1" x14ac:dyDescent="0.3">
      <c r="A224" s="427"/>
      <c r="B224" s="469" t="s">
        <v>145</v>
      </c>
      <c r="C224" s="544"/>
      <c r="D224" s="544"/>
      <c r="E224" s="544"/>
      <c r="F224" s="544"/>
      <c r="G224" s="544"/>
      <c r="H224" s="544"/>
      <c r="I224" s="544"/>
      <c r="J224" s="469">
        <f t="shared" si="1"/>
        <v>1</v>
      </c>
      <c r="K224" s="545">
        <f t="shared" si="2"/>
        <v>2.5906735751295338E-3</v>
      </c>
      <c r="L224" s="470">
        <f t="shared" si="3"/>
        <v>158</v>
      </c>
      <c r="M224" s="545">
        <f t="shared" si="4"/>
        <v>1.1461733768589047E-2</v>
      </c>
      <c r="N224" s="520"/>
      <c r="O224" s="533"/>
      <c r="P224" s="418"/>
      <c r="Q224" s="482"/>
    </row>
    <row r="225" spans="1:17" s="419" customFormat="1" x14ac:dyDescent="0.3">
      <c r="A225" s="427"/>
      <c r="B225" s="469" t="s">
        <v>146</v>
      </c>
      <c r="C225" s="544"/>
      <c r="D225" s="544"/>
      <c r="E225" s="544"/>
      <c r="F225" s="544"/>
      <c r="G225" s="544"/>
      <c r="H225" s="544"/>
      <c r="I225" s="544"/>
      <c r="J225" s="469">
        <f t="shared" si="1"/>
        <v>2</v>
      </c>
      <c r="K225" s="545">
        <f t="shared" si="2"/>
        <v>5.1813471502590676E-3</v>
      </c>
      <c r="L225" s="470">
        <f t="shared" si="3"/>
        <v>63</v>
      </c>
      <c r="M225" s="545">
        <f t="shared" si="4"/>
        <v>4.5701849836779105E-3</v>
      </c>
      <c r="N225" s="520"/>
      <c r="O225" s="533"/>
      <c r="P225" s="418"/>
    </row>
    <row r="226" spans="1:17" s="419" customFormat="1" x14ac:dyDescent="0.3">
      <c r="A226" s="427"/>
      <c r="B226" s="469" t="s">
        <v>147</v>
      </c>
      <c r="C226" s="544"/>
      <c r="D226" s="544"/>
      <c r="E226" s="544"/>
      <c r="F226" s="544"/>
      <c r="G226" s="544"/>
      <c r="H226" s="544"/>
      <c r="I226" s="544"/>
      <c r="J226" s="469">
        <f t="shared" si="1"/>
        <v>0</v>
      </c>
      <c r="K226" s="545">
        <f t="shared" si="2"/>
        <v>0</v>
      </c>
      <c r="L226" s="470">
        <f t="shared" si="3"/>
        <v>0</v>
      </c>
      <c r="M226" s="545">
        <f t="shared" si="4"/>
        <v>0</v>
      </c>
      <c r="N226" s="520"/>
      <c r="O226" s="533"/>
      <c r="P226" s="418"/>
      <c r="Q226" s="482"/>
    </row>
    <row r="227" spans="1:17" s="419" customFormat="1" x14ac:dyDescent="0.3">
      <c r="A227" s="427"/>
      <c r="B227" s="469" t="s">
        <v>227</v>
      </c>
      <c r="C227" s="544"/>
      <c r="D227" s="544"/>
      <c r="E227" s="544"/>
      <c r="F227" s="544"/>
      <c r="G227" s="544"/>
      <c r="H227" s="544"/>
      <c r="I227" s="544"/>
      <c r="J227" s="469">
        <f t="shared" si="1"/>
        <v>0</v>
      </c>
      <c r="K227" s="545">
        <f t="shared" si="2"/>
        <v>0</v>
      </c>
      <c r="L227" s="470">
        <f t="shared" si="3"/>
        <v>0</v>
      </c>
      <c r="M227" s="545">
        <f t="shared" si="4"/>
        <v>0</v>
      </c>
      <c r="N227" s="520"/>
      <c r="O227" s="533"/>
      <c r="P227" s="418"/>
    </row>
    <row r="228" spans="1:17" s="419" customFormat="1" x14ac:dyDescent="0.3">
      <c r="A228" s="427"/>
      <c r="B228" s="469" t="s">
        <v>228</v>
      </c>
      <c r="C228" s="544"/>
      <c r="D228" s="544"/>
      <c r="E228" s="544"/>
      <c r="F228" s="544"/>
      <c r="G228" s="544"/>
      <c r="H228" s="544"/>
      <c r="I228" s="544"/>
      <c r="J228" s="469">
        <f t="shared" si="1"/>
        <v>1</v>
      </c>
      <c r="K228" s="545">
        <f t="shared" si="2"/>
        <v>2.5906735751295338E-3</v>
      </c>
      <c r="L228" s="470">
        <f t="shared" si="3"/>
        <v>109</v>
      </c>
      <c r="M228" s="545">
        <f t="shared" si="4"/>
        <v>7.9071454479506705E-3</v>
      </c>
      <c r="N228" s="520"/>
      <c r="O228" s="533"/>
      <c r="P228" s="418"/>
      <c r="Q228" s="482"/>
    </row>
    <row r="229" spans="1:17" s="419" customFormat="1" x14ac:dyDescent="0.3">
      <c r="A229" s="427"/>
      <c r="B229" s="469" t="s">
        <v>229</v>
      </c>
      <c r="C229" s="544"/>
      <c r="D229" s="544"/>
      <c r="E229" s="544"/>
      <c r="F229" s="544"/>
      <c r="G229" s="544"/>
      <c r="H229" s="544"/>
      <c r="I229" s="544"/>
      <c r="J229" s="469">
        <f t="shared" si="1"/>
        <v>1</v>
      </c>
      <c r="K229" s="545">
        <f t="shared" si="2"/>
        <v>2.5906735751295338E-3</v>
      </c>
      <c r="L229" s="470">
        <f t="shared" si="3"/>
        <v>14</v>
      </c>
      <c r="M229" s="545">
        <f t="shared" si="4"/>
        <v>1.0155966630395357E-3</v>
      </c>
      <c r="N229" s="520"/>
      <c r="O229" s="533"/>
      <c r="P229" s="418"/>
      <c r="Q229" s="482"/>
    </row>
    <row r="230" spans="1:17" s="419" customFormat="1" x14ac:dyDescent="0.3">
      <c r="A230" s="427"/>
      <c r="B230" s="469" t="s">
        <v>230</v>
      </c>
      <c r="C230" s="544"/>
      <c r="D230" s="544"/>
      <c r="E230" s="544"/>
      <c r="F230" s="544"/>
      <c r="G230" s="544"/>
      <c r="H230" s="544"/>
      <c r="I230" s="544"/>
      <c r="J230" s="469">
        <f t="shared" si="1"/>
        <v>1</v>
      </c>
      <c r="K230" s="545">
        <f t="shared" si="2"/>
        <v>2.5906735751295338E-3</v>
      </c>
      <c r="L230" s="470">
        <f t="shared" si="3"/>
        <v>14</v>
      </c>
      <c r="M230" s="545">
        <f t="shared" si="4"/>
        <v>1.0155966630395357E-3</v>
      </c>
      <c r="N230" s="520"/>
      <c r="O230" s="533"/>
      <c r="P230" s="418"/>
      <c r="Q230" s="482"/>
    </row>
    <row r="231" spans="1:17" s="419" customFormat="1" x14ac:dyDescent="0.3">
      <c r="A231" s="427"/>
      <c r="B231" s="469" t="s">
        <v>231</v>
      </c>
      <c r="C231" s="544"/>
      <c r="D231" s="544"/>
      <c r="E231" s="544"/>
      <c r="F231" s="544"/>
      <c r="G231" s="544"/>
      <c r="H231" s="544"/>
      <c r="I231" s="544"/>
      <c r="J231" s="469">
        <f t="shared" si="1"/>
        <v>1</v>
      </c>
      <c r="K231" s="545">
        <f t="shared" si="2"/>
        <v>2.5906735751295338E-3</v>
      </c>
      <c r="L231" s="470">
        <f t="shared" si="3"/>
        <v>52</v>
      </c>
      <c r="M231" s="545">
        <f t="shared" si="4"/>
        <v>3.7722161770039897E-3</v>
      </c>
      <c r="N231" s="520"/>
      <c r="O231" s="533"/>
      <c r="P231" s="418"/>
      <c r="Q231" s="482"/>
    </row>
    <row r="232" spans="1:17" s="419" customFormat="1" x14ac:dyDescent="0.3">
      <c r="A232" s="427"/>
      <c r="B232" s="469" t="s">
        <v>232</v>
      </c>
      <c r="C232" s="544"/>
      <c r="D232" s="544"/>
      <c r="E232" s="544"/>
      <c r="F232" s="544"/>
      <c r="G232" s="544"/>
      <c r="H232" s="544"/>
      <c r="I232" s="544"/>
      <c r="J232" s="469">
        <f t="shared" si="1"/>
        <v>0</v>
      </c>
      <c r="K232" s="545">
        <f t="shared" si="2"/>
        <v>0</v>
      </c>
      <c r="L232" s="470">
        <f t="shared" si="3"/>
        <v>0</v>
      </c>
      <c r="M232" s="545">
        <f t="shared" si="4"/>
        <v>0</v>
      </c>
      <c r="N232" s="520"/>
      <c r="O232" s="533"/>
      <c r="P232" s="418"/>
      <c r="Q232" s="482"/>
    </row>
    <row r="233" spans="1:17" s="419" customFormat="1" x14ac:dyDescent="0.3">
      <c r="A233" s="427"/>
      <c r="B233" s="469" t="s">
        <v>233</v>
      </c>
      <c r="C233" s="544"/>
      <c r="D233" s="544"/>
      <c r="E233" s="544"/>
      <c r="F233" s="544"/>
      <c r="G233" s="544"/>
      <c r="H233" s="544"/>
      <c r="I233" s="544"/>
      <c r="J233" s="469">
        <f t="shared" si="1"/>
        <v>5</v>
      </c>
      <c r="K233" s="545">
        <f t="shared" si="2"/>
        <v>1.2953367875647668E-2</v>
      </c>
      <c r="L233" s="470">
        <f t="shared" si="3"/>
        <v>44</v>
      </c>
      <c r="M233" s="545">
        <f t="shared" si="4"/>
        <v>3.1918752266956838E-3</v>
      </c>
      <c r="N233" s="520"/>
      <c r="O233" s="533"/>
      <c r="P233" s="418"/>
      <c r="Q233" s="482"/>
    </row>
    <row r="234" spans="1:17" s="419" customFormat="1" x14ac:dyDescent="0.3">
      <c r="A234" s="427"/>
      <c r="B234" s="469"/>
      <c r="C234" s="544"/>
      <c r="D234" s="544"/>
      <c r="E234" s="544"/>
      <c r="F234" s="544"/>
      <c r="G234" s="544"/>
      <c r="H234" s="544"/>
      <c r="I234" s="544"/>
      <c r="J234" s="469"/>
      <c r="K234" s="545"/>
      <c r="L234" s="470"/>
      <c r="M234" s="545"/>
      <c r="N234" s="520"/>
      <c r="O234" s="533"/>
      <c r="P234" s="418"/>
      <c r="Q234" s="482"/>
    </row>
    <row r="235" spans="1:17" s="419" customFormat="1" x14ac:dyDescent="0.3">
      <c r="A235" s="427"/>
      <c r="B235" s="428"/>
      <c r="C235" s="428"/>
      <c r="D235" s="546"/>
      <c r="E235" s="546"/>
      <c r="F235" s="546"/>
      <c r="G235" s="546"/>
      <c r="H235" s="546"/>
      <c r="I235" s="546"/>
      <c r="J235" s="469">
        <f>SUM(J221:J234)</f>
        <v>386</v>
      </c>
      <c r="K235" s="545">
        <f>SUM(K221:K234)</f>
        <v>1</v>
      </c>
      <c r="L235" s="470">
        <f>SUM(L221:L234)</f>
        <v>13785</v>
      </c>
      <c r="M235" s="545">
        <f>SUM(M221:M234)</f>
        <v>1</v>
      </c>
      <c r="N235" s="428"/>
      <c r="O235" s="430"/>
      <c r="P235" s="418"/>
    </row>
    <row r="236" spans="1:17" x14ac:dyDescent="0.3">
      <c r="A236" s="537"/>
      <c r="B236" s="547"/>
      <c r="C236" s="539"/>
      <c r="D236" s="471"/>
      <c r="E236" s="471"/>
      <c r="F236" s="471"/>
      <c r="G236" s="471"/>
      <c r="H236" s="471"/>
      <c r="I236" s="471"/>
      <c r="J236" s="471"/>
      <c r="K236" s="471"/>
      <c r="L236" s="541"/>
      <c r="M236" s="471"/>
      <c r="N236" s="542"/>
      <c r="O236" s="543"/>
      <c r="P236" s="402"/>
    </row>
    <row r="237" spans="1:17" x14ac:dyDescent="0.3">
      <c r="A237" s="585"/>
      <c r="B237" s="599" t="s">
        <v>149</v>
      </c>
      <c r="C237" s="601"/>
      <c r="D237" s="601"/>
      <c r="E237" s="601"/>
      <c r="F237" s="601"/>
      <c r="G237" s="601"/>
      <c r="H237" s="601"/>
      <c r="I237" s="601"/>
      <c r="J237" s="619" t="s">
        <v>99</v>
      </c>
      <c r="K237" s="601" t="s">
        <v>100</v>
      </c>
      <c r="L237" s="615" t="s">
        <v>108</v>
      </c>
      <c r="M237" s="601" t="s">
        <v>100</v>
      </c>
      <c r="N237" s="591"/>
      <c r="O237" s="620"/>
      <c r="P237" s="402"/>
    </row>
    <row r="238" spans="1:17" s="419" customFormat="1" x14ac:dyDescent="0.3">
      <c r="A238" s="587"/>
      <c r="B238" s="597" t="s">
        <v>85</v>
      </c>
      <c r="C238" s="616"/>
      <c r="D238" s="616"/>
      <c r="E238" s="616"/>
      <c r="F238" s="616"/>
      <c r="G238" s="616"/>
      <c r="H238" s="616"/>
      <c r="I238" s="616"/>
      <c r="J238" s="597">
        <v>363</v>
      </c>
      <c r="K238" s="617">
        <f t="shared" ref="K238:K250" si="5">J238/$J$252</f>
        <v>0.94041450777202074</v>
      </c>
      <c r="L238" s="598">
        <v>12913</v>
      </c>
      <c r="M238" s="617">
        <f t="shared" ref="M238:M250" si="6">L238/$L$252</f>
        <v>0.93674283641639466</v>
      </c>
      <c r="N238" s="613"/>
      <c r="O238" s="618"/>
      <c r="P238" s="418"/>
    </row>
    <row r="239" spans="1:17" s="419" customFormat="1" x14ac:dyDescent="0.3">
      <c r="A239" s="427"/>
      <c r="B239" s="469" t="s">
        <v>86</v>
      </c>
      <c r="C239" s="544"/>
      <c r="D239" s="544"/>
      <c r="E239" s="544"/>
      <c r="F239" s="544"/>
      <c r="G239" s="544"/>
      <c r="H239" s="544"/>
      <c r="I239" s="544"/>
      <c r="J239" s="469">
        <v>8</v>
      </c>
      <c r="K239" s="545">
        <f t="shared" si="5"/>
        <v>2.072538860103627E-2</v>
      </c>
      <c r="L239" s="470">
        <v>339</v>
      </c>
      <c r="M239" s="545">
        <f t="shared" si="6"/>
        <v>2.4591947769314473E-2</v>
      </c>
      <c r="N239" s="520"/>
      <c r="O239" s="533"/>
      <c r="P239" s="418"/>
      <c r="Q239" s="482"/>
    </row>
    <row r="240" spans="1:17" s="419" customFormat="1" x14ac:dyDescent="0.3">
      <c r="A240" s="427"/>
      <c r="B240" s="469" t="s">
        <v>87</v>
      </c>
      <c r="C240" s="544"/>
      <c r="D240" s="544"/>
      <c r="E240" s="544"/>
      <c r="F240" s="544"/>
      <c r="G240" s="544"/>
      <c r="H240" s="544"/>
      <c r="I240" s="544"/>
      <c r="J240" s="469">
        <v>3</v>
      </c>
      <c r="K240" s="545">
        <f t="shared" si="5"/>
        <v>7.7720207253886009E-3</v>
      </c>
      <c r="L240" s="470">
        <v>79</v>
      </c>
      <c r="M240" s="545">
        <f t="shared" si="6"/>
        <v>5.7308668842945233E-3</v>
      </c>
      <c r="N240" s="520"/>
      <c r="O240" s="533"/>
      <c r="P240" s="418"/>
    </row>
    <row r="241" spans="1:17" s="419" customFormat="1" x14ac:dyDescent="0.3">
      <c r="A241" s="427"/>
      <c r="B241" s="469" t="s">
        <v>145</v>
      </c>
      <c r="C241" s="544"/>
      <c r="D241" s="544"/>
      <c r="E241" s="544"/>
      <c r="F241" s="544"/>
      <c r="G241" s="544"/>
      <c r="H241" s="544"/>
      <c r="I241" s="544"/>
      <c r="J241" s="469">
        <v>1</v>
      </c>
      <c r="K241" s="545">
        <f t="shared" si="5"/>
        <v>2.5906735751295338E-3</v>
      </c>
      <c r="L241" s="470">
        <v>158</v>
      </c>
      <c r="M241" s="545">
        <f t="shared" si="6"/>
        <v>1.1461733768589047E-2</v>
      </c>
      <c r="N241" s="520"/>
      <c r="O241" s="533"/>
      <c r="P241" s="418"/>
      <c r="Q241" s="482"/>
    </row>
    <row r="242" spans="1:17" s="419" customFormat="1" x14ac:dyDescent="0.3">
      <c r="A242" s="427"/>
      <c r="B242" s="469" t="s">
        <v>146</v>
      </c>
      <c r="C242" s="544"/>
      <c r="D242" s="544"/>
      <c r="E242" s="544"/>
      <c r="F242" s="544"/>
      <c r="G242" s="544"/>
      <c r="H242" s="544"/>
      <c r="I242" s="544"/>
      <c r="J242" s="469">
        <v>2</v>
      </c>
      <c r="K242" s="545">
        <f t="shared" si="5"/>
        <v>5.1813471502590676E-3</v>
      </c>
      <c r="L242" s="470">
        <v>63</v>
      </c>
      <c r="M242" s="545">
        <f t="shared" si="6"/>
        <v>4.5701849836779105E-3</v>
      </c>
      <c r="N242" s="520"/>
      <c r="O242" s="533"/>
      <c r="P242" s="418"/>
    </row>
    <row r="243" spans="1:17" s="419" customFormat="1" x14ac:dyDescent="0.3">
      <c r="A243" s="427"/>
      <c r="B243" s="469" t="s">
        <v>147</v>
      </c>
      <c r="C243" s="544"/>
      <c r="D243" s="544"/>
      <c r="E243" s="544"/>
      <c r="F243" s="544"/>
      <c r="G243" s="544"/>
      <c r="H243" s="544"/>
      <c r="I243" s="544"/>
      <c r="J243" s="469">
        <v>0</v>
      </c>
      <c r="K243" s="545">
        <f t="shared" si="5"/>
        <v>0</v>
      </c>
      <c r="L243" s="470">
        <v>0</v>
      </c>
      <c r="M243" s="545">
        <f t="shared" si="6"/>
        <v>0</v>
      </c>
      <c r="N243" s="520"/>
      <c r="O243" s="533"/>
      <c r="P243" s="418"/>
      <c r="Q243" s="482"/>
    </row>
    <row r="244" spans="1:17" s="419" customFormat="1" x14ac:dyDescent="0.3">
      <c r="A244" s="427"/>
      <c r="B244" s="469" t="s">
        <v>227</v>
      </c>
      <c r="C244" s="544"/>
      <c r="D244" s="544"/>
      <c r="E244" s="544"/>
      <c r="F244" s="544"/>
      <c r="G244" s="544"/>
      <c r="H244" s="544"/>
      <c r="I244" s="544"/>
      <c r="J244" s="469">
        <v>0</v>
      </c>
      <c r="K244" s="545">
        <f t="shared" si="5"/>
        <v>0</v>
      </c>
      <c r="L244" s="470">
        <v>0</v>
      </c>
      <c r="M244" s="545">
        <f t="shared" si="6"/>
        <v>0</v>
      </c>
      <c r="N244" s="520"/>
      <c r="O244" s="533"/>
      <c r="P244" s="418"/>
    </row>
    <row r="245" spans="1:17" s="419" customFormat="1" x14ac:dyDescent="0.3">
      <c r="A245" s="427"/>
      <c r="B245" s="469" t="s">
        <v>228</v>
      </c>
      <c r="C245" s="544"/>
      <c r="D245" s="544"/>
      <c r="E245" s="544"/>
      <c r="F245" s="544"/>
      <c r="G245" s="544"/>
      <c r="H245" s="544"/>
      <c r="I245" s="544"/>
      <c r="J245" s="469">
        <v>1</v>
      </c>
      <c r="K245" s="545">
        <f t="shared" si="5"/>
        <v>2.5906735751295338E-3</v>
      </c>
      <c r="L245" s="470">
        <v>109</v>
      </c>
      <c r="M245" s="545">
        <f t="shared" si="6"/>
        <v>7.9071454479506705E-3</v>
      </c>
      <c r="N245" s="520"/>
      <c r="O245" s="533"/>
      <c r="P245" s="418"/>
      <c r="Q245" s="482"/>
    </row>
    <row r="246" spans="1:17" s="419" customFormat="1" x14ac:dyDescent="0.3">
      <c r="A246" s="427"/>
      <c r="B246" s="469" t="s">
        <v>229</v>
      </c>
      <c r="C246" s="544"/>
      <c r="D246" s="544"/>
      <c r="E246" s="544"/>
      <c r="F246" s="544"/>
      <c r="G246" s="544"/>
      <c r="H246" s="544"/>
      <c r="I246" s="544"/>
      <c r="J246" s="469">
        <v>1</v>
      </c>
      <c r="K246" s="545">
        <f t="shared" si="5"/>
        <v>2.5906735751295338E-3</v>
      </c>
      <c r="L246" s="470">
        <v>14</v>
      </c>
      <c r="M246" s="545">
        <f t="shared" si="6"/>
        <v>1.0155966630395357E-3</v>
      </c>
      <c r="N246" s="520"/>
      <c r="O246" s="533"/>
      <c r="P246" s="418"/>
      <c r="Q246" s="482"/>
    </row>
    <row r="247" spans="1:17" s="419" customFormat="1" x14ac:dyDescent="0.3">
      <c r="A247" s="427"/>
      <c r="B247" s="469" t="s">
        <v>230</v>
      </c>
      <c r="C247" s="544"/>
      <c r="D247" s="544"/>
      <c r="E247" s="544"/>
      <c r="F247" s="544"/>
      <c r="G247" s="544"/>
      <c r="H247" s="544"/>
      <c r="I247" s="544"/>
      <c r="J247" s="469">
        <v>1</v>
      </c>
      <c r="K247" s="545">
        <f t="shared" si="5"/>
        <v>2.5906735751295338E-3</v>
      </c>
      <c r="L247" s="470">
        <v>14</v>
      </c>
      <c r="M247" s="545">
        <f t="shared" si="6"/>
        <v>1.0155966630395357E-3</v>
      </c>
      <c r="N247" s="520"/>
      <c r="O247" s="533"/>
      <c r="P247" s="418"/>
      <c r="Q247" s="482"/>
    </row>
    <row r="248" spans="1:17" s="419" customFormat="1" x14ac:dyDescent="0.3">
      <c r="A248" s="427"/>
      <c r="B248" s="469" t="s">
        <v>231</v>
      </c>
      <c r="C248" s="544"/>
      <c r="D248" s="544"/>
      <c r="E248" s="544"/>
      <c r="F248" s="544"/>
      <c r="G248" s="544"/>
      <c r="H248" s="544"/>
      <c r="I248" s="544"/>
      <c r="J248" s="469">
        <v>1</v>
      </c>
      <c r="K248" s="545">
        <f t="shared" si="5"/>
        <v>2.5906735751295338E-3</v>
      </c>
      <c r="L248" s="470">
        <v>52</v>
      </c>
      <c r="M248" s="545">
        <f t="shared" si="6"/>
        <v>3.7722161770039897E-3</v>
      </c>
      <c r="N248" s="520"/>
      <c r="O248" s="533"/>
      <c r="P248" s="418"/>
      <c r="Q248" s="482"/>
    </row>
    <row r="249" spans="1:17" s="419" customFormat="1" x14ac:dyDescent="0.3">
      <c r="A249" s="427"/>
      <c r="B249" s="469" t="s">
        <v>232</v>
      </c>
      <c r="C249" s="544"/>
      <c r="D249" s="544"/>
      <c r="E249" s="544"/>
      <c r="F249" s="544"/>
      <c r="G249" s="544"/>
      <c r="H249" s="544"/>
      <c r="I249" s="544"/>
      <c r="J249" s="469">
        <v>0</v>
      </c>
      <c r="K249" s="545">
        <f t="shared" si="5"/>
        <v>0</v>
      </c>
      <c r="L249" s="470">
        <v>0</v>
      </c>
      <c r="M249" s="545">
        <f t="shared" si="6"/>
        <v>0</v>
      </c>
      <c r="N249" s="548"/>
      <c r="O249" s="533"/>
      <c r="P249" s="418"/>
      <c r="Q249" s="482"/>
    </row>
    <row r="250" spans="1:17" s="419" customFormat="1" x14ac:dyDescent="0.3">
      <c r="A250" s="427"/>
      <c r="B250" s="469" t="s">
        <v>233</v>
      </c>
      <c r="C250" s="544"/>
      <c r="D250" s="544"/>
      <c r="E250" s="544"/>
      <c r="F250" s="544"/>
      <c r="G250" s="544"/>
      <c r="H250" s="544"/>
      <c r="I250" s="544"/>
      <c r="J250" s="469">
        <v>5</v>
      </c>
      <c r="K250" s="545">
        <f t="shared" si="5"/>
        <v>1.2953367875647668E-2</v>
      </c>
      <c r="L250" s="470">
        <v>44</v>
      </c>
      <c r="M250" s="545">
        <f t="shared" si="6"/>
        <v>3.1918752266956838E-3</v>
      </c>
      <c r="N250" s="548"/>
      <c r="O250" s="533"/>
      <c r="P250" s="418"/>
      <c r="Q250" s="482"/>
    </row>
    <row r="251" spans="1:17" s="419" customFormat="1" ht="18" customHeight="1" x14ac:dyDescent="0.3">
      <c r="A251" s="427"/>
      <c r="B251" s="469"/>
      <c r="C251" s="544"/>
      <c r="D251" s="544"/>
      <c r="E251" s="544"/>
      <c r="F251" s="544"/>
      <c r="G251" s="544"/>
      <c r="H251" s="544"/>
      <c r="I251" s="544"/>
      <c r="J251" s="469"/>
      <c r="K251" s="545"/>
      <c r="L251" s="470"/>
      <c r="M251" s="545"/>
      <c r="N251" s="520"/>
      <c r="O251" s="533"/>
      <c r="P251" s="418"/>
      <c r="Q251" s="482"/>
    </row>
    <row r="252" spans="1:17" s="419" customFormat="1" x14ac:dyDescent="0.3">
      <c r="A252" s="427"/>
      <c r="B252" s="428"/>
      <c r="C252" s="428"/>
      <c r="D252" s="546"/>
      <c r="E252" s="546"/>
      <c r="F252" s="546"/>
      <c r="G252" s="546"/>
      <c r="H252" s="546"/>
      <c r="I252" s="546"/>
      <c r="J252" s="469">
        <f>SUM(J238:J251)</f>
        <v>386</v>
      </c>
      <c r="K252" s="545">
        <f>SUM(K238:K251)</f>
        <v>1</v>
      </c>
      <c r="L252" s="470">
        <f>SUM(L238:L251)</f>
        <v>13785</v>
      </c>
      <c r="M252" s="545">
        <f>SUM(M238:M251)</f>
        <v>1</v>
      </c>
      <c r="N252" s="428"/>
      <c r="O252" s="430"/>
      <c r="P252" s="418"/>
    </row>
    <row r="253" spans="1:17" x14ac:dyDescent="0.3">
      <c r="A253" s="404"/>
      <c r="B253" s="476"/>
      <c r="C253" s="476"/>
      <c r="D253" s="549"/>
      <c r="E253" s="549"/>
      <c r="F253" s="549"/>
      <c r="G253" s="549"/>
      <c r="H253" s="549"/>
      <c r="I253" s="549"/>
      <c r="J253" s="477"/>
      <c r="K253" s="550"/>
      <c r="L253" s="498"/>
      <c r="M253" s="550"/>
      <c r="N253" s="476"/>
      <c r="O253" s="476"/>
      <c r="P253" s="402"/>
    </row>
    <row r="254" spans="1:17" x14ac:dyDescent="0.3">
      <c r="A254" s="585"/>
      <c r="B254" s="599" t="s">
        <v>204</v>
      </c>
      <c r="C254" s="601"/>
      <c r="D254" s="601"/>
      <c r="E254" s="601"/>
      <c r="F254" s="601"/>
      <c r="G254" s="601"/>
      <c r="H254" s="601"/>
      <c r="I254" s="601"/>
      <c r="J254" s="619" t="s">
        <v>99</v>
      </c>
      <c r="K254" s="601" t="s">
        <v>100</v>
      </c>
      <c r="L254" s="615" t="s">
        <v>108</v>
      </c>
      <c r="M254" s="601" t="s">
        <v>100</v>
      </c>
      <c r="N254" s="591"/>
      <c r="O254" s="594"/>
      <c r="P254" s="402"/>
    </row>
    <row r="255" spans="1:17" s="419" customFormat="1" x14ac:dyDescent="0.3">
      <c r="A255" s="587"/>
      <c r="B255" s="597" t="s">
        <v>85</v>
      </c>
      <c r="C255" s="616"/>
      <c r="D255" s="616"/>
      <c r="E255" s="616"/>
      <c r="F255" s="616"/>
      <c r="G255" s="616"/>
      <c r="H255" s="616"/>
      <c r="I255" s="616"/>
      <c r="J255" s="597">
        <v>0</v>
      </c>
      <c r="K255" s="617">
        <v>0</v>
      </c>
      <c r="L255" s="598">
        <v>0</v>
      </c>
      <c r="M255" s="617">
        <v>0</v>
      </c>
      <c r="N255" s="588"/>
      <c r="O255" s="590"/>
      <c r="P255" s="418"/>
    </row>
    <row r="256" spans="1:17" s="419" customFormat="1" x14ac:dyDescent="0.3">
      <c r="A256" s="427"/>
      <c r="B256" s="469" t="s">
        <v>86</v>
      </c>
      <c r="C256" s="544"/>
      <c r="D256" s="544"/>
      <c r="E256" s="544"/>
      <c r="F256" s="544"/>
      <c r="G256" s="544"/>
      <c r="H256" s="544"/>
      <c r="I256" s="544"/>
      <c r="J256" s="469">
        <v>0</v>
      </c>
      <c r="K256" s="545">
        <v>0</v>
      </c>
      <c r="L256" s="470">
        <v>0</v>
      </c>
      <c r="M256" s="545">
        <v>0</v>
      </c>
      <c r="N256" s="428"/>
      <c r="O256" s="430"/>
      <c r="P256" s="418"/>
    </row>
    <row r="257" spans="1:16" s="419" customFormat="1" x14ac:dyDescent="0.3">
      <c r="A257" s="427"/>
      <c r="B257" s="469" t="s">
        <v>87</v>
      </c>
      <c r="C257" s="544"/>
      <c r="D257" s="544"/>
      <c r="E257" s="544"/>
      <c r="F257" s="544"/>
      <c r="G257" s="544"/>
      <c r="H257" s="544"/>
      <c r="I257" s="544"/>
      <c r="J257" s="469">
        <v>0</v>
      </c>
      <c r="K257" s="545">
        <v>0</v>
      </c>
      <c r="L257" s="470">
        <v>0</v>
      </c>
      <c r="M257" s="545">
        <v>0</v>
      </c>
      <c r="N257" s="428"/>
      <c r="O257" s="430"/>
      <c r="P257" s="418"/>
    </row>
    <row r="258" spans="1:16" s="419" customFormat="1" x14ac:dyDescent="0.3">
      <c r="A258" s="427"/>
      <c r="B258" s="469" t="s">
        <v>145</v>
      </c>
      <c r="C258" s="544"/>
      <c r="D258" s="544"/>
      <c r="E258" s="544"/>
      <c r="F258" s="544"/>
      <c r="G258" s="544"/>
      <c r="H258" s="544"/>
      <c r="I258" s="544"/>
      <c r="J258" s="469">
        <v>0</v>
      </c>
      <c r="K258" s="545">
        <v>0</v>
      </c>
      <c r="L258" s="470">
        <v>0</v>
      </c>
      <c r="M258" s="545">
        <v>0</v>
      </c>
      <c r="N258" s="428"/>
      <c r="O258" s="430"/>
      <c r="P258" s="418"/>
    </row>
    <row r="259" spans="1:16" s="419" customFormat="1" x14ac:dyDescent="0.3">
      <c r="A259" s="427"/>
      <c r="B259" s="469" t="s">
        <v>146</v>
      </c>
      <c r="C259" s="544"/>
      <c r="D259" s="544"/>
      <c r="E259" s="544"/>
      <c r="F259" s="544"/>
      <c r="G259" s="544"/>
      <c r="H259" s="544"/>
      <c r="I259" s="544"/>
      <c r="J259" s="469">
        <v>0</v>
      </c>
      <c r="K259" s="545">
        <v>0</v>
      </c>
      <c r="L259" s="470">
        <v>0</v>
      </c>
      <c r="M259" s="545">
        <v>0</v>
      </c>
      <c r="N259" s="428"/>
      <c r="O259" s="430"/>
      <c r="P259" s="418"/>
    </row>
    <row r="260" spans="1:16" s="419" customFormat="1" x14ac:dyDescent="0.3">
      <c r="A260" s="427"/>
      <c r="B260" s="469" t="s">
        <v>147</v>
      </c>
      <c r="C260" s="544"/>
      <c r="D260" s="544"/>
      <c r="E260" s="544"/>
      <c r="F260" s="544"/>
      <c r="G260" s="544"/>
      <c r="H260" s="544"/>
      <c r="I260" s="544"/>
      <c r="J260" s="469">
        <v>0</v>
      </c>
      <c r="K260" s="545">
        <v>0</v>
      </c>
      <c r="L260" s="470">
        <v>0</v>
      </c>
      <c r="M260" s="545">
        <v>0</v>
      </c>
      <c r="N260" s="428"/>
      <c r="O260" s="430"/>
      <c r="P260" s="418"/>
    </row>
    <row r="261" spans="1:16" s="419" customFormat="1" x14ac:dyDescent="0.3">
      <c r="A261" s="427"/>
      <c r="B261" s="469" t="s">
        <v>227</v>
      </c>
      <c r="C261" s="544"/>
      <c r="D261" s="544"/>
      <c r="E261" s="544"/>
      <c r="F261" s="544"/>
      <c r="G261" s="544"/>
      <c r="H261" s="544"/>
      <c r="I261" s="544"/>
      <c r="J261" s="469">
        <v>0</v>
      </c>
      <c r="K261" s="545">
        <v>0</v>
      </c>
      <c r="L261" s="470">
        <v>0</v>
      </c>
      <c r="M261" s="545">
        <v>0</v>
      </c>
      <c r="N261" s="428"/>
      <c r="O261" s="430"/>
      <c r="P261" s="418"/>
    </row>
    <row r="262" spans="1:16" s="419" customFormat="1" x14ac:dyDescent="0.3">
      <c r="A262" s="427"/>
      <c r="B262" s="469" t="s">
        <v>228</v>
      </c>
      <c r="C262" s="544"/>
      <c r="D262" s="544"/>
      <c r="E262" s="544"/>
      <c r="F262" s="544"/>
      <c r="G262" s="544"/>
      <c r="H262" s="544"/>
      <c r="I262" s="544"/>
      <c r="J262" s="469">
        <v>0</v>
      </c>
      <c r="K262" s="545">
        <v>0</v>
      </c>
      <c r="L262" s="470">
        <v>0</v>
      </c>
      <c r="M262" s="545">
        <v>0</v>
      </c>
      <c r="N262" s="428"/>
      <c r="O262" s="430"/>
      <c r="P262" s="418"/>
    </row>
    <row r="263" spans="1:16" s="419" customFormat="1" x14ac:dyDescent="0.3">
      <c r="A263" s="427"/>
      <c r="B263" s="469" t="s">
        <v>229</v>
      </c>
      <c r="C263" s="544"/>
      <c r="D263" s="544"/>
      <c r="E263" s="544"/>
      <c r="F263" s="544"/>
      <c r="G263" s="544"/>
      <c r="H263" s="544"/>
      <c r="I263" s="544"/>
      <c r="J263" s="469">
        <v>0</v>
      </c>
      <c r="K263" s="545">
        <v>0</v>
      </c>
      <c r="L263" s="470">
        <v>0</v>
      </c>
      <c r="M263" s="545">
        <v>0</v>
      </c>
      <c r="N263" s="428"/>
      <c r="O263" s="430"/>
      <c r="P263" s="418"/>
    </row>
    <row r="264" spans="1:16" s="419" customFormat="1" x14ac:dyDescent="0.3">
      <c r="A264" s="427"/>
      <c r="B264" s="469" t="s">
        <v>230</v>
      </c>
      <c r="C264" s="544"/>
      <c r="D264" s="544"/>
      <c r="E264" s="544"/>
      <c r="F264" s="544"/>
      <c r="G264" s="544"/>
      <c r="H264" s="544"/>
      <c r="I264" s="544"/>
      <c r="J264" s="469">
        <v>0</v>
      </c>
      <c r="K264" s="545">
        <v>0</v>
      </c>
      <c r="L264" s="470">
        <v>0</v>
      </c>
      <c r="M264" s="545">
        <v>0</v>
      </c>
      <c r="N264" s="428"/>
      <c r="O264" s="430"/>
      <c r="P264" s="418"/>
    </row>
    <row r="265" spans="1:16" s="419" customFormat="1" x14ac:dyDescent="0.3">
      <c r="A265" s="427"/>
      <c r="B265" s="469" t="s">
        <v>231</v>
      </c>
      <c r="C265" s="544"/>
      <c r="D265" s="544"/>
      <c r="E265" s="544"/>
      <c r="F265" s="544"/>
      <c r="G265" s="544"/>
      <c r="H265" s="544"/>
      <c r="I265" s="544"/>
      <c r="J265" s="469">
        <v>0</v>
      </c>
      <c r="K265" s="545">
        <v>0</v>
      </c>
      <c r="L265" s="470">
        <v>0</v>
      </c>
      <c r="M265" s="545">
        <v>0</v>
      </c>
      <c r="N265" s="428"/>
      <c r="O265" s="430"/>
      <c r="P265" s="418"/>
    </row>
    <row r="266" spans="1:16" s="419" customFormat="1" x14ac:dyDescent="0.3">
      <c r="A266" s="427"/>
      <c r="B266" s="469" t="s">
        <v>232</v>
      </c>
      <c r="C266" s="544"/>
      <c r="D266" s="544"/>
      <c r="E266" s="544"/>
      <c r="F266" s="544"/>
      <c r="G266" s="544"/>
      <c r="H266" s="544"/>
      <c r="I266" s="544"/>
      <c r="J266" s="469">
        <v>0</v>
      </c>
      <c r="K266" s="545">
        <v>0</v>
      </c>
      <c r="L266" s="470">
        <v>0</v>
      </c>
      <c r="M266" s="545">
        <v>0</v>
      </c>
      <c r="N266" s="428"/>
      <c r="O266" s="430"/>
      <c r="P266" s="418"/>
    </row>
    <row r="267" spans="1:16" s="419" customFormat="1" x14ac:dyDescent="0.3">
      <c r="A267" s="427"/>
      <c r="B267" s="469" t="s">
        <v>233</v>
      </c>
      <c r="C267" s="544"/>
      <c r="D267" s="544"/>
      <c r="E267" s="544"/>
      <c r="F267" s="544"/>
      <c r="G267" s="544"/>
      <c r="H267" s="544"/>
      <c r="I267" s="544"/>
      <c r="J267" s="469">
        <v>0</v>
      </c>
      <c r="K267" s="545">
        <v>0</v>
      </c>
      <c r="L267" s="470">
        <v>0</v>
      </c>
      <c r="M267" s="545">
        <v>0</v>
      </c>
      <c r="N267" s="428"/>
      <c r="O267" s="430"/>
      <c r="P267" s="418"/>
    </row>
    <row r="268" spans="1:16" s="419" customFormat="1" x14ac:dyDescent="0.3">
      <c r="A268" s="427"/>
      <c r="B268" s="469"/>
      <c r="C268" s="544"/>
      <c r="D268" s="544"/>
      <c r="E268" s="544"/>
      <c r="F268" s="544"/>
      <c r="G268" s="544"/>
      <c r="H268" s="544"/>
      <c r="I268" s="544"/>
      <c r="J268" s="469"/>
      <c r="K268" s="545"/>
      <c r="L268" s="470"/>
      <c r="M268" s="545"/>
      <c r="N268" s="428"/>
      <c r="O268" s="430"/>
      <c r="P268" s="418"/>
    </row>
    <row r="269" spans="1:16" s="419" customFormat="1" x14ac:dyDescent="0.3">
      <c r="A269" s="427"/>
      <c r="B269" s="428"/>
      <c r="C269" s="428"/>
      <c r="D269" s="546"/>
      <c r="E269" s="546"/>
      <c r="F269" s="546"/>
      <c r="G269" s="546"/>
      <c r="H269" s="546"/>
      <c r="I269" s="546"/>
      <c r="J269" s="469">
        <f>SUM(J255:J268)</f>
        <v>0</v>
      </c>
      <c r="K269" s="545">
        <f>SUM(K255:K268)</f>
        <v>0</v>
      </c>
      <c r="L269" s="470">
        <f>SUM(L255:L268)</f>
        <v>0</v>
      </c>
      <c r="M269" s="545">
        <f>SUM(M255:M268)</f>
        <v>0</v>
      </c>
      <c r="N269" s="428"/>
      <c r="O269" s="430"/>
      <c r="P269" s="418"/>
    </row>
    <row r="270" spans="1:16" x14ac:dyDescent="0.3">
      <c r="A270" s="404"/>
      <c r="B270" s="476"/>
      <c r="C270" s="476"/>
      <c r="D270" s="549"/>
      <c r="E270" s="549"/>
      <c r="F270" s="549"/>
      <c r="G270" s="549"/>
      <c r="H270" s="549"/>
      <c r="I270" s="549"/>
      <c r="J270" s="477"/>
      <c r="K270" s="550"/>
      <c r="L270" s="498"/>
      <c r="M270" s="550"/>
      <c r="N270" s="476"/>
      <c r="O270" s="476"/>
      <c r="P270" s="402"/>
    </row>
    <row r="271" spans="1:16" x14ac:dyDescent="0.3">
      <c r="A271" s="585"/>
      <c r="B271" s="599" t="s">
        <v>150</v>
      </c>
      <c r="C271" s="591"/>
      <c r="D271" s="621"/>
      <c r="E271" s="621"/>
      <c r="F271" s="621"/>
      <c r="G271" s="621"/>
      <c r="H271" s="621"/>
      <c r="I271" s="621"/>
      <c r="J271" s="619" t="s">
        <v>99</v>
      </c>
      <c r="K271" s="601" t="s">
        <v>100</v>
      </c>
      <c r="L271" s="615" t="s">
        <v>108</v>
      </c>
      <c r="M271" s="601" t="s">
        <v>100</v>
      </c>
      <c r="N271" s="591"/>
      <c r="O271" s="594"/>
      <c r="P271" s="402"/>
    </row>
    <row r="272" spans="1:16" s="419" customFormat="1" x14ac:dyDescent="0.3">
      <c r="A272" s="587"/>
      <c r="B272" s="597" t="s">
        <v>85</v>
      </c>
      <c r="C272" s="588"/>
      <c r="D272" s="622"/>
      <c r="E272" s="622"/>
      <c r="F272" s="622"/>
      <c r="G272" s="622"/>
      <c r="H272" s="622"/>
      <c r="I272" s="622"/>
      <c r="J272" s="597">
        <v>0</v>
      </c>
      <c r="K272" s="617">
        <v>0</v>
      </c>
      <c r="L272" s="598">
        <v>0</v>
      </c>
      <c r="M272" s="617">
        <v>0</v>
      </c>
      <c r="N272" s="588"/>
      <c r="O272" s="590"/>
      <c r="P272" s="418"/>
    </row>
    <row r="273" spans="1:16" s="419" customFormat="1" x14ac:dyDescent="0.3">
      <c r="A273" s="427"/>
      <c r="B273" s="469" t="s">
        <v>86</v>
      </c>
      <c r="C273" s="428"/>
      <c r="D273" s="546"/>
      <c r="E273" s="546"/>
      <c r="F273" s="546"/>
      <c r="G273" s="546"/>
      <c r="H273" s="546"/>
      <c r="I273" s="546"/>
      <c r="J273" s="469">
        <v>0</v>
      </c>
      <c r="K273" s="545">
        <v>0</v>
      </c>
      <c r="L273" s="470">
        <v>0</v>
      </c>
      <c r="M273" s="545">
        <v>0</v>
      </c>
      <c r="N273" s="428"/>
      <c r="O273" s="430"/>
      <c r="P273" s="418"/>
    </row>
    <row r="274" spans="1:16" s="419" customFormat="1" x14ac:dyDescent="0.3">
      <c r="A274" s="427"/>
      <c r="B274" s="469" t="s">
        <v>87</v>
      </c>
      <c r="C274" s="428"/>
      <c r="D274" s="546"/>
      <c r="E274" s="546"/>
      <c r="F274" s="546"/>
      <c r="G274" s="546"/>
      <c r="H274" s="546"/>
      <c r="I274" s="546"/>
      <c r="J274" s="469">
        <v>0</v>
      </c>
      <c r="K274" s="545">
        <v>0</v>
      </c>
      <c r="L274" s="470">
        <v>0</v>
      </c>
      <c r="M274" s="545">
        <v>0</v>
      </c>
      <c r="N274" s="428"/>
      <c r="O274" s="430"/>
      <c r="P274" s="418"/>
    </row>
    <row r="275" spans="1:16" s="419" customFormat="1" x14ac:dyDescent="0.3">
      <c r="A275" s="427"/>
      <c r="B275" s="469" t="s">
        <v>145</v>
      </c>
      <c r="C275" s="428"/>
      <c r="D275" s="546"/>
      <c r="E275" s="546"/>
      <c r="F275" s="546"/>
      <c r="G275" s="546"/>
      <c r="H275" s="546"/>
      <c r="I275" s="546"/>
      <c r="J275" s="469">
        <v>0</v>
      </c>
      <c r="K275" s="545">
        <v>0</v>
      </c>
      <c r="L275" s="470">
        <v>0</v>
      </c>
      <c r="M275" s="545">
        <v>0</v>
      </c>
      <c r="N275" s="428"/>
      <c r="O275" s="430"/>
      <c r="P275" s="418"/>
    </row>
    <row r="276" spans="1:16" s="419" customFormat="1" x14ac:dyDescent="0.3">
      <c r="A276" s="427"/>
      <c r="B276" s="469" t="s">
        <v>146</v>
      </c>
      <c r="C276" s="428"/>
      <c r="D276" s="546"/>
      <c r="E276" s="546"/>
      <c r="F276" s="546"/>
      <c r="G276" s="546"/>
      <c r="H276" s="546"/>
      <c r="I276" s="546"/>
      <c r="J276" s="469">
        <v>0</v>
      </c>
      <c r="K276" s="545">
        <v>0</v>
      </c>
      <c r="L276" s="470">
        <v>0</v>
      </c>
      <c r="M276" s="545">
        <v>0</v>
      </c>
      <c r="N276" s="428"/>
      <c r="O276" s="430"/>
      <c r="P276" s="418"/>
    </row>
    <row r="277" spans="1:16" s="419" customFormat="1" x14ac:dyDescent="0.3">
      <c r="A277" s="427"/>
      <c r="B277" s="469" t="s">
        <v>147</v>
      </c>
      <c r="C277" s="428"/>
      <c r="D277" s="546"/>
      <c r="E277" s="546"/>
      <c r="F277" s="546"/>
      <c r="G277" s="546"/>
      <c r="H277" s="546"/>
      <c r="I277" s="546"/>
      <c r="J277" s="469">
        <v>0</v>
      </c>
      <c r="K277" s="545">
        <v>0</v>
      </c>
      <c r="L277" s="470">
        <v>0</v>
      </c>
      <c r="M277" s="545">
        <v>0</v>
      </c>
      <c r="N277" s="428"/>
      <c r="O277" s="430"/>
      <c r="P277" s="418"/>
    </row>
    <row r="278" spans="1:16" s="419" customFormat="1" x14ac:dyDescent="0.3">
      <c r="A278" s="427"/>
      <c r="B278" s="469" t="s">
        <v>227</v>
      </c>
      <c r="C278" s="428"/>
      <c r="D278" s="546"/>
      <c r="E278" s="546"/>
      <c r="F278" s="546"/>
      <c r="G278" s="546"/>
      <c r="H278" s="546"/>
      <c r="I278" s="546"/>
      <c r="J278" s="469">
        <v>0</v>
      </c>
      <c r="K278" s="545">
        <v>0</v>
      </c>
      <c r="L278" s="470">
        <v>0</v>
      </c>
      <c r="M278" s="545">
        <v>0</v>
      </c>
      <c r="N278" s="428"/>
      <c r="O278" s="430"/>
      <c r="P278" s="418"/>
    </row>
    <row r="279" spans="1:16" s="419" customFormat="1" x14ac:dyDescent="0.3">
      <c r="A279" s="427"/>
      <c r="B279" s="469" t="s">
        <v>228</v>
      </c>
      <c r="C279" s="428"/>
      <c r="D279" s="546"/>
      <c r="E279" s="546"/>
      <c r="F279" s="546"/>
      <c r="G279" s="546"/>
      <c r="H279" s="546"/>
      <c r="I279" s="546"/>
      <c r="J279" s="469">
        <v>0</v>
      </c>
      <c r="K279" s="545">
        <v>0</v>
      </c>
      <c r="L279" s="470">
        <v>0</v>
      </c>
      <c r="M279" s="545">
        <v>0</v>
      </c>
      <c r="N279" s="428"/>
      <c r="O279" s="430"/>
      <c r="P279" s="418"/>
    </row>
    <row r="280" spans="1:16" s="419" customFormat="1" x14ac:dyDescent="0.3">
      <c r="A280" s="427"/>
      <c r="B280" s="469" t="s">
        <v>229</v>
      </c>
      <c r="C280" s="428"/>
      <c r="D280" s="546"/>
      <c r="E280" s="546"/>
      <c r="F280" s="546"/>
      <c r="G280" s="546"/>
      <c r="H280" s="546"/>
      <c r="I280" s="546"/>
      <c r="J280" s="469">
        <v>0</v>
      </c>
      <c r="K280" s="545">
        <v>0</v>
      </c>
      <c r="L280" s="470">
        <v>0</v>
      </c>
      <c r="M280" s="545">
        <v>0</v>
      </c>
      <c r="N280" s="428"/>
      <c r="O280" s="430"/>
      <c r="P280" s="418"/>
    </row>
    <row r="281" spans="1:16" s="419" customFormat="1" x14ac:dyDescent="0.3">
      <c r="A281" s="427"/>
      <c r="B281" s="469" t="s">
        <v>230</v>
      </c>
      <c r="C281" s="428"/>
      <c r="D281" s="546"/>
      <c r="E281" s="546"/>
      <c r="F281" s="546"/>
      <c r="G281" s="546"/>
      <c r="H281" s="546"/>
      <c r="I281" s="546"/>
      <c r="J281" s="469">
        <v>0</v>
      </c>
      <c r="K281" s="545">
        <v>0</v>
      </c>
      <c r="L281" s="470">
        <v>0</v>
      </c>
      <c r="M281" s="545">
        <v>0</v>
      </c>
      <c r="N281" s="428"/>
      <c r="O281" s="430"/>
      <c r="P281" s="418"/>
    </row>
    <row r="282" spans="1:16" s="419" customFormat="1" x14ac:dyDescent="0.3">
      <c r="A282" s="427"/>
      <c r="B282" s="469" t="s">
        <v>231</v>
      </c>
      <c r="C282" s="428"/>
      <c r="D282" s="546"/>
      <c r="E282" s="546"/>
      <c r="F282" s="546"/>
      <c r="G282" s="546"/>
      <c r="H282" s="546"/>
      <c r="I282" s="546"/>
      <c r="J282" s="469">
        <v>0</v>
      </c>
      <c r="K282" s="545">
        <v>0</v>
      </c>
      <c r="L282" s="470">
        <v>0</v>
      </c>
      <c r="M282" s="545">
        <v>0</v>
      </c>
      <c r="N282" s="428"/>
      <c r="O282" s="430"/>
      <c r="P282" s="418"/>
    </row>
    <row r="283" spans="1:16" s="419" customFormat="1" x14ac:dyDescent="0.3">
      <c r="A283" s="427"/>
      <c r="B283" s="469" t="s">
        <v>232</v>
      </c>
      <c r="C283" s="428"/>
      <c r="D283" s="546"/>
      <c r="E283" s="546"/>
      <c r="F283" s="546"/>
      <c r="G283" s="546"/>
      <c r="H283" s="546"/>
      <c r="I283" s="546"/>
      <c r="J283" s="469">
        <v>0</v>
      </c>
      <c r="K283" s="545">
        <v>0</v>
      </c>
      <c r="L283" s="470">
        <v>0</v>
      </c>
      <c r="M283" s="545">
        <v>0</v>
      </c>
      <c r="N283" s="428"/>
      <c r="O283" s="430"/>
      <c r="P283" s="418"/>
    </row>
    <row r="284" spans="1:16" s="419" customFormat="1" x14ac:dyDescent="0.3">
      <c r="A284" s="427"/>
      <c r="B284" s="469" t="s">
        <v>233</v>
      </c>
      <c r="C284" s="428"/>
      <c r="D284" s="546"/>
      <c r="E284" s="546"/>
      <c r="F284" s="546"/>
      <c r="G284" s="546"/>
      <c r="H284" s="546"/>
      <c r="I284" s="546"/>
      <c r="J284" s="469">
        <v>0</v>
      </c>
      <c r="K284" s="545">
        <v>0</v>
      </c>
      <c r="L284" s="470">
        <v>0</v>
      </c>
      <c r="M284" s="545">
        <v>0</v>
      </c>
      <c r="N284" s="428"/>
      <c r="O284" s="430"/>
      <c r="P284" s="418"/>
    </row>
    <row r="285" spans="1:16" s="419" customFormat="1" x14ac:dyDescent="0.3">
      <c r="A285" s="427"/>
      <c r="B285" s="469"/>
      <c r="C285" s="428"/>
      <c r="D285" s="546"/>
      <c r="E285" s="546"/>
      <c r="F285" s="546"/>
      <c r="G285" s="546"/>
      <c r="H285" s="546"/>
      <c r="I285" s="546"/>
      <c r="J285" s="469"/>
      <c r="K285" s="545"/>
      <c r="L285" s="470"/>
      <c r="M285" s="545"/>
      <c r="N285" s="428"/>
      <c r="O285" s="430"/>
      <c r="P285" s="418"/>
    </row>
    <row r="286" spans="1:16" s="419" customFormat="1" x14ac:dyDescent="0.3">
      <c r="A286" s="427"/>
      <c r="B286" s="428" t="s">
        <v>114</v>
      </c>
      <c r="C286" s="428"/>
      <c r="D286" s="546"/>
      <c r="E286" s="546"/>
      <c r="F286" s="546"/>
      <c r="G286" s="546"/>
      <c r="H286" s="546"/>
      <c r="I286" s="546"/>
      <c r="J286" s="469">
        <f>SUM(J272:J284)</f>
        <v>0</v>
      </c>
      <c r="K286" s="545">
        <f>SUM(K272:K284)</f>
        <v>0</v>
      </c>
      <c r="L286" s="470">
        <f>SUM(L272:L284)</f>
        <v>0</v>
      </c>
      <c r="M286" s="545">
        <f>SUM(M272:M284)</f>
        <v>0</v>
      </c>
      <c r="N286" s="428"/>
      <c r="O286" s="430"/>
      <c r="P286" s="418"/>
    </row>
    <row r="287" spans="1:16" s="419" customFormat="1" x14ac:dyDescent="0.3">
      <c r="A287" s="427"/>
      <c r="B287" s="428"/>
      <c r="C287" s="428"/>
      <c r="D287" s="546"/>
      <c r="E287" s="546"/>
      <c r="F287" s="546"/>
      <c r="G287" s="546"/>
      <c r="H287" s="546"/>
      <c r="I287" s="546"/>
      <c r="J287" s="469"/>
      <c r="K287" s="545"/>
      <c r="L287" s="470"/>
      <c r="M287" s="545"/>
      <c r="N287" s="428"/>
      <c r="O287" s="430"/>
      <c r="P287" s="418"/>
    </row>
    <row r="288" spans="1:16" s="419" customFormat="1" x14ac:dyDescent="0.3">
      <c r="A288" s="427"/>
      <c r="B288" s="433" t="s">
        <v>151</v>
      </c>
      <c r="C288" s="428"/>
      <c r="D288" s="546"/>
      <c r="E288" s="546"/>
      <c r="F288" s="546"/>
      <c r="G288" s="546"/>
      <c r="H288" s="546"/>
      <c r="I288" s="546"/>
      <c r="J288" s="551">
        <f>J286+J269+J252</f>
        <v>386</v>
      </c>
      <c r="K288" s="545"/>
      <c r="L288" s="552">
        <f>+L286+L269+L252</f>
        <v>13785</v>
      </c>
      <c r="M288" s="545"/>
      <c r="N288" s="428"/>
      <c r="O288" s="430"/>
      <c r="P288" s="418"/>
    </row>
    <row r="289" spans="1:16" s="419" customFormat="1" x14ac:dyDescent="0.3">
      <c r="A289" s="415"/>
      <c r="B289" s="458"/>
      <c r="C289" s="458"/>
      <c r="D289" s="553"/>
      <c r="E289" s="553"/>
      <c r="F289" s="553"/>
      <c r="G289" s="553"/>
      <c r="H289" s="553"/>
      <c r="I289" s="553"/>
      <c r="J289" s="553"/>
      <c r="K289" s="553"/>
      <c r="L289" s="554"/>
      <c r="M289" s="553"/>
      <c r="N289" s="458"/>
      <c r="O289" s="458"/>
      <c r="P289" s="418"/>
    </row>
    <row r="290" spans="1:16" s="419" customFormat="1" x14ac:dyDescent="0.3">
      <c r="A290" s="415"/>
      <c r="B290" s="416"/>
      <c r="C290" s="416"/>
      <c r="D290" s="555"/>
      <c r="E290" s="555"/>
      <c r="F290" s="555"/>
      <c r="G290" s="555"/>
      <c r="H290" s="555"/>
      <c r="I290" s="555"/>
      <c r="J290" s="555"/>
      <c r="K290" s="555"/>
      <c r="L290" s="556"/>
      <c r="M290" s="555"/>
      <c r="N290" s="416"/>
      <c r="O290" s="416"/>
      <c r="P290" s="418"/>
    </row>
    <row r="291" spans="1:16" s="419" customFormat="1" x14ac:dyDescent="0.3">
      <c r="A291" s="415"/>
      <c r="B291" s="414" t="s">
        <v>88</v>
      </c>
      <c r="C291" s="416"/>
      <c r="D291" s="422" t="s">
        <v>94</v>
      </c>
      <c r="E291" s="416"/>
      <c r="F291" s="414" t="s">
        <v>96</v>
      </c>
      <c r="G291" s="416"/>
      <c r="H291" s="416"/>
      <c r="I291" s="416"/>
      <c r="J291" s="422"/>
      <c r="K291" s="416"/>
      <c r="L291" s="414"/>
      <c r="M291" s="416"/>
      <c r="N291" s="416"/>
      <c r="O291" s="416"/>
      <c r="P291" s="418"/>
    </row>
    <row r="292" spans="1:16" s="419" customFormat="1" x14ac:dyDescent="0.3">
      <c r="A292" s="415"/>
      <c r="B292" s="416"/>
      <c r="C292" s="416"/>
      <c r="D292" s="416"/>
      <c r="E292" s="416"/>
      <c r="F292" s="416"/>
      <c r="G292" s="416"/>
      <c r="H292" s="416"/>
      <c r="I292" s="416"/>
      <c r="J292" s="416"/>
      <c r="K292" s="416"/>
      <c r="L292" s="416"/>
      <c r="M292" s="416"/>
      <c r="N292" s="416"/>
      <c r="O292" s="416"/>
      <c r="P292" s="418"/>
    </row>
    <row r="293" spans="1:16" s="419" customFormat="1" x14ac:dyDescent="0.3">
      <c r="A293" s="557"/>
      <c r="B293" s="414" t="s">
        <v>273</v>
      </c>
      <c r="C293" s="414"/>
      <c r="D293" s="558" t="s">
        <v>240</v>
      </c>
      <c r="E293" s="558"/>
      <c r="F293" s="623" t="s">
        <v>295</v>
      </c>
      <c r="G293" s="414"/>
      <c r="H293" s="416"/>
      <c r="I293" s="416"/>
      <c r="J293" s="558"/>
      <c r="K293" s="414"/>
      <c r="L293" s="414"/>
      <c r="M293" s="416"/>
      <c r="N293" s="416"/>
      <c r="O293" s="416"/>
      <c r="P293" s="418"/>
    </row>
    <row r="294" spans="1:16" s="419" customFormat="1" x14ac:dyDescent="0.3">
      <c r="A294" s="415"/>
      <c r="B294" s="414" t="s">
        <v>274</v>
      </c>
      <c r="C294" s="414"/>
      <c r="D294" s="558" t="s">
        <v>137</v>
      </c>
      <c r="E294" s="414"/>
      <c r="F294" s="623" t="s">
        <v>296</v>
      </c>
      <c r="G294" s="416"/>
      <c r="H294" s="416"/>
      <c r="I294" s="416"/>
      <c r="J294" s="558"/>
      <c r="K294" s="414"/>
      <c r="L294" s="414"/>
      <c r="M294" s="416"/>
      <c r="N294" s="416"/>
      <c r="O294" s="416"/>
      <c r="P294" s="418"/>
    </row>
    <row r="295" spans="1:16" s="419" customFormat="1" x14ac:dyDescent="0.3">
      <c r="A295" s="415"/>
      <c r="B295" s="414"/>
      <c r="C295" s="414"/>
      <c r="D295" s="416"/>
      <c r="E295" s="416"/>
      <c r="F295" s="416"/>
      <c r="G295" s="416"/>
      <c r="H295" s="416"/>
      <c r="I295" s="416"/>
      <c r="J295" s="416"/>
      <c r="K295" s="416"/>
      <c r="L295" s="416"/>
      <c r="M295" s="416"/>
      <c r="N295" s="416"/>
      <c r="O295" s="416"/>
      <c r="P295" s="418"/>
    </row>
    <row r="296" spans="1:16" s="419" customFormat="1" x14ac:dyDescent="0.3">
      <c r="A296" s="415"/>
      <c r="B296" s="414"/>
      <c r="C296" s="414"/>
      <c r="D296" s="416"/>
      <c r="E296" s="416"/>
      <c r="F296" s="416"/>
      <c r="G296" s="416"/>
      <c r="H296" s="416"/>
      <c r="I296" s="416"/>
      <c r="J296" s="416"/>
      <c r="K296" s="416"/>
      <c r="L296" s="416"/>
      <c r="M296" s="416"/>
      <c r="N296" s="416"/>
      <c r="O296" s="416"/>
      <c r="P296" s="418"/>
    </row>
    <row r="297" spans="1:16" s="419" customFormat="1" ht="18.600000000000001" thickBot="1" x14ac:dyDescent="0.4">
      <c r="A297" s="415"/>
      <c r="B297" s="559" t="str">
        <f>B182</f>
        <v>FF7 INVESTOR REPORT QUARTER ENDING FEBRUARY 2018</v>
      </c>
      <c r="C297" s="414"/>
      <c r="D297" s="416"/>
      <c r="E297" s="416"/>
      <c r="F297" s="416"/>
      <c r="G297" s="416"/>
      <c r="H297" s="416"/>
      <c r="I297" s="416"/>
      <c r="J297" s="416"/>
      <c r="K297" s="416"/>
      <c r="L297" s="416"/>
      <c r="M297" s="416"/>
      <c r="N297" s="416"/>
      <c r="O297" s="416"/>
      <c r="P297" s="418"/>
    </row>
    <row r="298" spans="1:16" x14ac:dyDescent="0.3">
      <c r="A298" s="560"/>
      <c r="B298" s="560"/>
      <c r="C298" s="560"/>
      <c r="D298" s="560"/>
      <c r="E298" s="560"/>
      <c r="F298" s="560"/>
      <c r="G298" s="560"/>
      <c r="H298" s="560"/>
      <c r="I298" s="560"/>
      <c r="J298" s="560"/>
      <c r="K298" s="560"/>
      <c r="L298" s="560"/>
      <c r="M298" s="560"/>
      <c r="N298" s="560"/>
      <c r="O298" s="560"/>
    </row>
  </sheetData>
  <hyperlinks>
    <hyperlink ref="K9" r:id="rId1"/>
    <hyperlink ref="K218" r:id="rId2"/>
  </hyperlinks>
  <printOptions horizontalCentered="1" verticalCentered="1"/>
  <pageMargins left="0.19685039370078741" right="0.19685039370078741" top="0.27559055118110237" bottom="0.27559055118110237" header="0" footer="0"/>
  <pageSetup scale="53" orientation="landscape" r:id="rId3"/>
  <headerFooter alignWithMargins="0"/>
  <rowBreaks count="3" manualBreakCount="3">
    <brk id="52" max="14" man="1"/>
    <brk id="115" max="14" man="1"/>
    <brk id="182" max="14" man="1"/>
  </rowBreaks>
  <colBreaks count="1" manualBreakCount="1">
    <brk id="15" max="298" man="1"/>
  </col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V298"/>
  <sheetViews>
    <sheetView showGridLines="0" showOutlineSymbols="0" zoomScale="80" zoomScaleNormal="80" workbookViewId="0"/>
  </sheetViews>
  <sheetFormatPr defaultColWidth="9.6328125" defaultRowHeight="15.6" x14ac:dyDescent="0.3"/>
  <cols>
    <col min="1" max="1" width="4" style="403" customWidth="1"/>
    <col min="2" max="2" width="75.1796875" style="403" customWidth="1"/>
    <col min="3" max="3" width="2.1796875" style="403" customWidth="1"/>
    <col min="4" max="4" width="17.90625" style="403" customWidth="1"/>
    <col min="5" max="5" width="2.36328125" style="403" customWidth="1"/>
    <col min="6" max="6" width="13.08984375" style="403" customWidth="1"/>
    <col min="7" max="7" width="2.36328125" style="403" customWidth="1"/>
    <col min="8" max="8" width="15.54296875" style="403" customWidth="1"/>
    <col min="9" max="9" width="2.1796875" style="403" customWidth="1"/>
    <col min="10" max="10" width="15.54296875" style="403" customWidth="1"/>
    <col min="11" max="12" width="12.6328125" style="403" customWidth="1"/>
    <col min="13" max="13" width="7.81640625" style="403" customWidth="1"/>
    <col min="14" max="14" width="14.6328125" style="403" customWidth="1"/>
    <col min="15" max="15" width="11.81640625" style="403" customWidth="1"/>
    <col min="16" max="16384" width="9.6328125" style="403"/>
  </cols>
  <sheetData>
    <row r="1" spans="1:16" ht="21" x14ac:dyDescent="0.4">
      <c r="A1" s="399"/>
      <c r="B1" s="400" t="s">
        <v>184</v>
      </c>
      <c r="C1" s="401"/>
      <c r="D1" s="401"/>
      <c r="E1" s="401"/>
      <c r="F1" s="401"/>
      <c r="G1" s="401"/>
      <c r="H1" s="401"/>
      <c r="I1" s="401"/>
      <c r="J1" s="401"/>
      <c r="K1" s="401"/>
      <c r="L1" s="401"/>
      <c r="M1" s="401"/>
      <c r="N1" s="401"/>
      <c r="O1" s="401"/>
      <c r="P1" s="402"/>
    </row>
    <row r="2" spans="1:16" x14ac:dyDescent="0.3">
      <c r="A2" s="404"/>
      <c r="B2" s="405"/>
      <c r="C2" s="406"/>
      <c r="D2" s="406"/>
      <c r="E2" s="406"/>
      <c r="F2" s="406"/>
      <c r="G2" s="406"/>
      <c r="H2" s="406"/>
      <c r="I2" s="406"/>
      <c r="J2" s="406"/>
      <c r="K2" s="406"/>
      <c r="L2" s="406"/>
      <c r="M2" s="406"/>
      <c r="N2" s="406"/>
      <c r="O2" s="406"/>
      <c r="P2" s="402"/>
    </row>
    <row r="3" spans="1:16" x14ac:dyDescent="0.3">
      <c r="A3" s="407"/>
      <c r="B3" s="408" t="s">
        <v>185</v>
      </c>
      <c r="C3" s="406"/>
      <c r="D3" s="406"/>
      <c r="E3" s="406"/>
      <c r="F3" s="406"/>
      <c r="G3" s="406"/>
      <c r="H3" s="406"/>
      <c r="I3" s="406"/>
      <c r="J3" s="406"/>
      <c r="K3" s="406"/>
      <c r="L3" s="406"/>
      <c r="M3" s="406"/>
      <c r="N3" s="406"/>
      <c r="O3" s="406"/>
      <c r="P3" s="402"/>
    </row>
    <row r="4" spans="1:16" x14ac:dyDescent="0.3">
      <c r="A4" s="404"/>
      <c r="B4" s="405"/>
      <c r="C4" s="406"/>
      <c r="D4" s="406"/>
      <c r="E4" s="406"/>
      <c r="F4" s="406"/>
      <c r="G4" s="406"/>
      <c r="H4" s="406"/>
      <c r="I4" s="406"/>
      <c r="J4" s="406"/>
      <c r="K4" s="406"/>
      <c r="L4" s="406"/>
      <c r="M4" s="406"/>
      <c r="N4" s="406"/>
      <c r="O4" s="406"/>
      <c r="P4" s="402"/>
    </row>
    <row r="5" spans="1:16" x14ac:dyDescent="0.3">
      <c r="A5" s="404"/>
      <c r="B5" s="409" t="s">
        <v>243</v>
      </c>
      <c r="C5" s="406"/>
      <c r="D5" s="406"/>
      <c r="E5" s="406"/>
      <c r="F5" s="406"/>
      <c r="G5" s="406"/>
      <c r="H5" s="406"/>
      <c r="I5" s="406"/>
      <c r="J5" s="406"/>
      <c r="K5" s="406"/>
      <c r="L5" s="406"/>
      <c r="M5" s="406"/>
      <c r="N5" s="406"/>
      <c r="O5" s="406"/>
      <c r="P5" s="402"/>
    </row>
    <row r="6" spans="1:16" x14ac:dyDescent="0.3">
      <c r="A6" s="404"/>
      <c r="B6" s="409" t="s">
        <v>187</v>
      </c>
      <c r="C6" s="406"/>
      <c r="D6" s="406"/>
      <c r="E6" s="406"/>
      <c r="F6" s="406"/>
      <c r="G6" s="406"/>
      <c r="H6" s="406"/>
      <c r="I6" s="406"/>
      <c r="J6" s="406"/>
      <c r="K6" s="406"/>
      <c r="L6" s="406"/>
      <c r="M6" s="406"/>
      <c r="N6" s="406"/>
      <c r="O6" s="406"/>
      <c r="P6" s="402"/>
    </row>
    <row r="7" spans="1:16" x14ac:dyDescent="0.3">
      <c r="A7" s="404"/>
      <c r="B7" s="409" t="s">
        <v>188</v>
      </c>
      <c r="C7" s="406"/>
      <c r="D7" s="406"/>
      <c r="E7" s="406"/>
      <c r="F7" s="406"/>
      <c r="G7" s="406"/>
      <c r="H7" s="406"/>
      <c r="I7" s="406"/>
      <c r="J7" s="406"/>
      <c r="K7" s="406"/>
      <c r="L7" s="406"/>
      <c r="M7" s="406"/>
      <c r="N7" s="406"/>
      <c r="O7" s="406"/>
      <c r="P7" s="402"/>
    </row>
    <row r="8" spans="1:16" x14ac:dyDescent="0.3">
      <c r="A8" s="404"/>
      <c r="B8" s="410"/>
      <c r="C8" s="406"/>
      <c r="D8" s="406"/>
      <c r="E8" s="406"/>
      <c r="F8" s="406"/>
      <c r="G8" s="406"/>
      <c r="H8" s="406"/>
      <c r="I8" s="406"/>
      <c r="J8" s="406"/>
      <c r="K8" s="406"/>
      <c r="L8" s="406"/>
      <c r="M8" s="406"/>
      <c r="N8" s="406"/>
      <c r="O8" s="406"/>
      <c r="P8" s="402"/>
    </row>
    <row r="9" spans="1:16" ht="18" x14ac:dyDescent="0.35">
      <c r="A9" s="404"/>
      <c r="B9" s="411" t="s">
        <v>153</v>
      </c>
      <c r="C9" s="406"/>
      <c r="D9" s="412"/>
      <c r="E9" s="406"/>
      <c r="F9" s="412"/>
      <c r="G9" s="406"/>
      <c r="H9" s="406"/>
      <c r="I9" s="406"/>
      <c r="J9" s="406"/>
      <c r="K9" s="398" t="s">
        <v>293</v>
      </c>
      <c r="L9" s="406"/>
      <c r="M9" s="406"/>
      <c r="N9" s="406"/>
      <c r="O9" s="406"/>
      <c r="P9" s="402"/>
    </row>
    <row r="10" spans="1:16" x14ac:dyDescent="0.3">
      <c r="A10" s="404"/>
      <c r="B10" s="410"/>
      <c r="C10" s="413"/>
      <c r="D10" s="406"/>
      <c r="E10" s="406"/>
      <c r="F10" s="406"/>
      <c r="G10" s="406"/>
      <c r="H10" s="406"/>
      <c r="I10" s="406"/>
      <c r="J10" s="406"/>
      <c r="K10" s="406"/>
      <c r="L10" s="406"/>
      <c r="M10" s="406"/>
      <c r="N10" s="406"/>
      <c r="O10" s="406"/>
      <c r="P10" s="402"/>
    </row>
    <row r="11" spans="1:16" x14ac:dyDescent="0.3">
      <c r="A11" s="404"/>
      <c r="B11" s="414" t="s">
        <v>0</v>
      </c>
      <c r="C11" s="406"/>
      <c r="D11" s="406"/>
      <c r="E11" s="406"/>
      <c r="F11" s="406"/>
      <c r="G11" s="406"/>
      <c r="H11" s="406"/>
      <c r="I11" s="406"/>
      <c r="J11" s="406"/>
      <c r="K11" s="406"/>
      <c r="L11" s="406"/>
      <c r="M11" s="406"/>
      <c r="N11" s="406"/>
      <c r="O11" s="406"/>
      <c r="P11" s="402"/>
    </row>
    <row r="12" spans="1:16" ht="16.2" thickBot="1" x14ac:dyDescent="0.35">
      <c r="A12" s="404"/>
      <c r="B12" s="413"/>
      <c r="C12" s="406"/>
      <c r="D12" s="406"/>
      <c r="E12" s="406"/>
      <c r="F12" s="406"/>
      <c r="G12" s="406"/>
      <c r="H12" s="406"/>
      <c r="I12" s="406"/>
      <c r="J12" s="406"/>
      <c r="K12" s="406"/>
      <c r="L12" s="406"/>
      <c r="M12" s="406"/>
      <c r="N12" s="406"/>
      <c r="O12" s="406"/>
      <c r="P12" s="402"/>
    </row>
    <row r="13" spans="1:16" x14ac:dyDescent="0.3">
      <c r="A13" s="399"/>
      <c r="B13" s="401"/>
      <c r="C13" s="401"/>
      <c r="D13" s="401"/>
      <c r="E13" s="401"/>
      <c r="F13" s="401"/>
      <c r="G13" s="401"/>
      <c r="H13" s="401"/>
      <c r="I13" s="401"/>
      <c r="J13" s="401"/>
      <c r="K13" s="401"/>
      <c r="L13" s="401"/>
      <c r="M13" s="401"/>
      <c r="N13" s="401"/>
      <c r="O13" s="401"/>
      <c r="P13" s="402"/>
    </row>
    <row r="14" spans="1:16" s="419" customFormat="1" x14ac:dyDescent="0.3">
      <c r="A14" s="415"/>
      <c r="B14" s="414" t="s">
        <v>1</v>
      </c>
      <c r="C14" s="416"/>
      <c r="D14" s="416"/>
      <c r="E14" s="416"/>
      <c r="F14" s="416"/>
      <c r="G14" s="416"/>
      <c r="H14" s="416"/>
      <c r="I14" s="416"/>
      <c r="J14" s="416"/>
      <c r="K14" s="416"/>
      <c r="L14" s="416"/>
      <c r="M14" s="416"/>
      <c r="N14" s="417" t="s">
        <v>186</v>
      </c>
      <c r="O14" s="416"/>
      <c r="P14" s="418"/>
    </row>
    <row r="15" spans="1:16" s="419" customFormat="1" x14ac:dyDescent="0.3">
      <c r="A15" s="415"/>
      <c r="B15" s="414" t="s">
        <v>2</v>
      </c>
      <c r="C15" s="416"/>
      <c r="D15" s="420"/>
      <c r="E15" s="420"/>
      <c r="F15" s="420"/>
      <c r="G15" s="420"/>
      <c r="H15" s="420"/>
      <c r="I15" s="420"/>
      <c r="J15" s="420" t="s">
        <v>101</v>
      </c>
      <c r="K15" s="421">
        <v>4.07E-2</v>
      </c>
      <c r="L15" s="422" t="s">
        <v>133</v>
      </c>
      <c r="M15" s="421">
        <v>0.95930000000000004</v>
      </c>
      <c r="N15" s="417"/>
      <c r="O15" s="416"/>
      <c r="P15" s="418"/>
    </row>
    <row r="16" spans="1:16" s="419" customFormat="1" x14ac:dyDescent="0.3">
      <c r="A16" s="415"/>
      <c r="B16" s="414" t="s">
        <v>3</v>
      </c>
      <c r="C16" s="416"/>
      <c r="D16" s="420"/>
      <c r="E16" s="420"/>
      <c r="F16" s="420"/>
      <c r="G16" s="420"/>
      <c r="H16" s="420"/>
      <c r="I16" s="420"/>
      <c r="J16" s="420" t="s">
        <v>101</v>
      </c>
      <c r="K16" s="421">
        <v>0.1996337427964025</v>
      </c>
      <c r="L16" s="422" t="s">
        <v>133</v>
      </c>
      <c r="M16" s="421">
        <v>0.80036625720359755</v>
      </c>
      <c r="N16" s="417"/>
      <c r="O16" s="416"/>
      <c r="P16" s="418"/>
    </row>
    <row r="17" spans="1:16" s="419" customFormat="1" x14ac:dyDescent="0.3">
      <c r="A17" s="415"/>
      <c r="B17" s="414" t="s">
        <v>4</v>
      </c>
      <c r="C17" s="416"/>
      <c r="D17" s="416"/>
      <c r="E17" s="416"/>
      <c r="F17" s="416"/>
      <c r="G17" s="416"/>
      <c r="H17" s="416"/>
      <c r="I17" s="416"/>
      <c r="J17" s="416"/>
      <c r="K17" s="416"/>
      <c r="L17" s="416"/>
      <c r="M17" s="416"/>
      <c r="N17" s="423">
        <v>39107</v>
      </c>
      <c r="O17" s="416"/>
      <c r="P17" s="418"/>
    </row>
    <row r="18" spans="1:16" s="419" customFormat="1" x14ac:dyDescent="0.3">
      <c r="A18" s="415"/>
      <c r="B18" s="414" t="s">
        <v>5</v>
      </c>
      <c r="C18" s="416"/>
      <c r="D18" s="416"/>
      <c r="E18" s="416"/>
      <c r="F18" s="416"/>
      <c r="G18" s="416"/>
      <c r="H18" s="416"/>
      <c r="I18" s="416"/>
      <c r="J18" s="416"/>
      <c r="K18" s="416"/>
      <c r="L18" s="416"/>
      <c r="M18" s="416"/>
      <c r="N18" s="423">
        <v>43272</v>
      </c>
      <c r="O18" s="416"/>
      <c r="P18" s="418"/>
    </row>
    <row r="19" spans="1:16" s="419" customFormat="1" x14ac:dyDescent="0.3">
      <c r="A19" s="415"/>
      <c r="B19" s="416"/>
      <c r="C19" s="416"/>
      <c r="D19" s="416"/>
      <c r="E19" s="416"/>
      <c r="F19" s="416"/>
      <c r="G19" s="416"/>
      <c r="H19" s="416"/>
      <c r="I19" s="416"/>
      <c r="J19" s="416"/>
      <c r="K19" s="416"/>
      <c r="L19" s="416"/>
      <c r="M19" s="416"/>
      <c r="N19" s="424"/>
      <c r="O19" s="416"/>
      <c r="P19" s="418"/>
    </row>
    <row r="20" spans="1:16" s="419" customFormat="1" x14ac:dyDescent="0.3">
      <c r="A20" s="415"/>
      <c r="B20" s="425" t="s">
        <v>6</v>
      </c>
      <c r="C20" s="416"/>
      <c r="D20" s="416"/>
      <c r="E20" s="416"/>
      <c r="F20" s="416"/>
      <c r="G20" s="416"/>
      <c r="H20" s="416"/>
      <c r="I20" s="416"/>
      <c r="J20" s="416"/>
      <c r="K20" s="416"/>
      <c r="L20" s="424" t="s">
        <v>102</v>
      </c>
      <c r="M20" s="416"/>
      <c r="N20" s="416"/>
      <c r="O20" s="416"/>
      <c r="P20" s="418"/>
    </row>
    <row r="21" spans="1:16" x14ac:dyDescent="0.3">
      <c r="A21" s="404"/>
      <c r="B21" s="406"/>
      <c r="C21" s="406"/>
      <c r="D21" s="406"/>
      <c r="E21" s="406"/>
      <c r="F21" s="406"/>
      <c r="G21" s="406"/>
      <c r="H21" s="406"/>
      <c r="I21" s="406"/>
      <c r="J21" s="406"/>
      <c r="K21" s="406"/>
      <c r="L21" s="406"/>
      <c r="M21" s="406"/>
      <c r="N21" s="426"/>
      <c r="O21" s="406"/>
      <c r="P21" s="402"/>
    </row>
    <row r="22" spans="1:16" x14ac:dyDescent="0.3">
      <c r="A22" s="585"/>
      <c r="B22" s="591"/>
      <c r="C22" s="592"/>
      <c r="D22" s="592" t="s">
        <v>103</v>
      </c>
      <c r="E22" s="592"/>
      <c r="F22" s="592" t="s">
        <v>189</v>
      </c>
      <c r="G22" s="592"/>
      <c r="H22" s="592" t="s">
        <v>190</v>
      </c>
      <c r="I22" s="592"/>
      <c r="J22" s="592"/>
      <c r="K22" s="593"/>
      <c r="L22" s="593"/>
      <c r="M22" s="591"/>
      <c r="N22" s="591"/>
      <c r="O22" s="594"/>
      <c r="P22" s="402"/>
    </row>
    <row r="23" spans="1:16" s="419" customFormat="1" x14ac:dyDescent="0.3">
      <c r="A23" s="587"/>
      <c r="B23" s="588" t="s">
        <v>7</v>
      </c>
      <c r="C23" s="589"/>
      <c r="D23" s="589" t="s">
        <v>134</v>
      </c>
      <c r="E23" s="589"/>
      <c r="F23" s="589" t="s">
        <v>152</v>
      </c>
      <c r="G23" s="589"/>
      <c r="H23" s="589" t="s">
        <v>135</v>
      </c>
      <c r="I23" s="589"/>
      <c r="J23" s="589"/>
      <c r="K23" s="589"/>
      <c r="L23" s="589"/>
      <c r="M23" s="588"/>
      <c r="N23" s="588"/>
      <c r="O23" s="590"/>
      <c r="P23" s="418"/>
    </row>
    <row r="24" spans="1:16" s="419" customFormat="1" x14ac:dyDescent="0.3">
      <c r="A24" s="431"/>
      <c r="B24" s="428" t="s">
        <v>162</v>
      </c>
      <c r="C24" s="432"/>
      <c r="D24" s="429" t="s">
        <v>134</v>
      </c>
      <c r="E24" s="429"/>
      <c r="F24" s="429" t="s">
        <v>152</v>
      </c>
      <c r="G24" s="429"/>
      <c r="H24" s="429" t="s">
        <v>135</v>
      </c>
      <c r="I24" s="429"/>
      <c r="J24" s="429"/>
      <c r="K24" s="432"/>
      <c r="L24" s="429"/>
      <c r="M24" s="428"/>
      <c r="N24" s="428"/>
      <c r="O24" s="430"/>
      <c r="P24" s="418"/>
    </row>
    <row r="25" spans="1:16" s="419" customFormat="1" x14ac:dyDescent="0.3">
      <c r="A25" s="427"/>
      <c r="B25" s="433" t="s">
        <v>163</v>
      </c>
      <c r="C25" s="429"/>
      <c r="D25" s="432" t="s">
        <v>134</v>
      </c>
      <c r="E25" s="432"/>
      <c r="F25" s="432" t="s">
        <v>267</v>
      </c>
      <c r="G25" s="432"/>
      <c r="H25" s="432" t="s">
        <v>267</v>
      </c>
      <c r="I25" s="432"/>
      <c r="J25" s="432"/>
      <c r="K25" s="429"/>
      <c r="L25" s="434"/>
      <c r="M25" s="428"/>
      <c r="N25" s="428"/>
      <c r="O25" s="430"/>
      <c r="P25" s="418"/>
    </row>
    <row r="26" spans="1:16" s="419" customFormat="1" x14ac:dyDescent="0.3">
      <c r="A26" s="427"/>
      <c r="B26" s="433" t="s">
        <v>164</v>
      </c>
      <c r="C26" s="429"/>
      <c r="D26" s="432" t="s">
        <v>134</v>
      </c>
      <c r="E26" s="432"/>
      <c r="F26" s="432" t="s">
        <v>152</v>
      </c>
      <c r="G26" s="432"/>
      <c r="H26" s="432" t="s">
        <v>135</v>
      </c>
      <c r="I26" s="432"/>
      <c r="J26" s="432"/>
      <c r="K26" s="429"/>
      <c r="L26" s="434"/>
      <c r="M26" s="428"/>
      <c r="N26" s="428"/>
      <c r="O26" s="430"/>
      <c r="P26" s="418"/>
    </row>
    <row r="27" spans="1:16" s="419" customFormat="1" x14ac:dyDescent="0.3">
      <c r="A27" s="427"/>
      <c r="B27" s="428" t="s">
        <v>8</v>
      </c>
      <c r="C27" s="435"/>
      <c r="D27" s="429" t="s">
        <v>218</v>
      </c>
      <c r="E27" s="429"/>
      <c r="F27" s="429" t="s">
        <v>219</v>
      </c>
      <c r="G27" s="429"/>
      <c r="H27" s="429" t="s">
        <v>220</v>
      </c>
      <c r="I27" s="429"/>
      <c r="J27" s="429"/>
      <c r="K27" s="436"/>
      <c r="L27" s="436"/>
      <c r="M27" s="435"/>
      <c r="N27" s="436"/>
      <c r="O27" s="437"/>
      <c r="P27" s="418"/>
    </row>
    <row r="28" spans="1:16" s="419" customFormat="1" x14ac:dyDescent="0.3">
      <c r="A28" s="431"/>
      <c r="B28" s="428" t="s">
        <v>129</v>
      </c>
      <c r="C28" s="438"/>
      <c r="D28" s="436">
        <v>260500</v>
      </c>
      <c r="E28" s="436"/>
      <c r="F28" s="436">
        <v>4050</v>
      </c>
      <c r="G28" s="436"/>
      <c r="H28" s="436">
        <v>4050</v>
      </c>
      <c r="I28" s="436"/>
      <c r="J28" s="439"/>
      <c r="K28" s="440"/>
      <c r="L28" s="440"/>
      <c r="M28" s="438"/>
      <c r="N28" s="436">
        <f>SUM(D28:H28)</f>
        <v>268600</v>
      </c>
      <c r="O28" s="437"/>
      <c r="P28" s="418"/>
    </row>
    <row r="29" spans="1:16" s="419" customFormat="1" x14ac:dyDescent="0.3">
      <c r="A29" s="427"/>
      <c r="B29" s="428" t="s">
        <v>128</v>
      </c>
      <c r="C29" s="435"/>
      <c r="D29" s="436">
        <f>D28*D32</f>
        <v>10587.762000000001</v>
      </c>
      <c r="E29" s="436"/>
      <c r="F29" s="436">
        <f>F28*F32</f>
        <v>1598.20047</v>
      </c>
      <c r="G29" s="436"/>
      <c r="H29" s="436">
        <f>H28*H32</f>
        <v>1598.20047</v>
      </c>
      <c r="I29" s="436"/>
      <c r="J29" s="439"/>
      <c r="K29" s="436"/>
      <c r="L29" s="436"/>
      <c r="M29" s="435"/>
      <c r="N29" s="436">
        <f>SUM(D29:H29)+1</f>
        <v>13785.16294</v>
      </c>
      <c r="O29" s="437"/>
      <c r="P29" s="418"/>
    </row>
    <row r="30" spans="1:16" s="419" customFormat="1" x14ac:dyDescent="0.3">
      <c r="A30" s="427"/>
      <c r="B30" s="433" t="s">
        <v>130</v>
      </c>
      <c r="C30" s="435"/>
      <c r="D30" s="440">
        <f>D28*D31</f>
        <v>9813.9207000000006</v>
      </c>
      <c r="E30" s="440"/>
      <c r="F30" s="440">
        <f>F28*F31</f>
        <v>1598.20047</v>
      </c>
      <c r="G30" s="440"/>
      <c r="H30" s="440">
        <f>H28*H31</f>
        <v>1598.20047</v>
      </c>
      <c r="I30" s="440"/>
      <c r="J30" s="441"/>
      <c r="K30" s="436"/>
      <c r="L30" s="436"/>
      <c r="M30" s="435"/>
      <c r="N30" s="440">
        <f>SUM(D30:I30)+1</f>
        <v>13011.32164</v>
      </c>
      <c r="O30" s="437"/>
      <c r="P30" s="418"/>
    </row>
    <row r="31" spans="1:16" s="569" customFormat="1" x14ac:dyDescent="0.3">
      <c r="A31" s="561"/>
      <c r="B31" s="562" t="s">
        <v>126</v>
      </c>
      <c r="C31" s="563"/>
      <c r="D31" s="564">
        <v>3.7673400000000003E-2</v>
      </c>
      <c r="E31" s="564"/>
      <c r="F31" s="564">
        <v>0.39461740000000001</v>
      </c>
      <c r="G31" s="564"/>
      <c r="H31" s="564">
        <v>0.39461740000000001</v>
      </c>
      <c r="I31" s="565"/>
      <c r="J31" s="565"/>
      <c r="K31" s="566"/>
      <c r="L31" s="566"/>
      <c r="M31" s="563"/>
      <c r="N31" s="563"/>
      <c r="O31" s="567"/>
      <c r="P31" s="568"/>
    </row>
    <row r="32" spans="1:16" s="569" customFormat="1" x14ac:dyDescent="0.3">
      <c r="A32" s="561"/>
      <c r="B32" s="562" t="s">
        <v>127</v>
      </c>
      <c r="C32" s="563"/>
      <c r="D32" s="564">
        <v>4.0644E-2</v>
      </c>
      <c r="E32" s="564"/>
      <c r="F32" s="564">
        <v>0.39461740000000001</v>
      </c>
      <c r="G32" s="564"/>
      <c r="H32" s="564">
        <v>0.39461740000000001</v>
      </c>
      <c r="I32" s="565"/>
      <c r="J32" s="565"/>
      <c r="K32" s="570"/>
      <c r="L32" s="571"/>
      <c r="M32" s="563"/>
      <c r="N32" s="570"/>
      <c r="O32" s="567"/>
      <c r="P32" s="568"/>
    </row>
    <row r="33" spans="1:17" s="419" customFormat="1" x14ac:dyDescent="0.3">
      <c r="A33" s="427"/>
      <c r="B33" s="428" t="s">
        <v>9</v>
      </c>
      <c r="C33" s="428"/>
      <c r="D33" s="434" t="s">
        <v>193</v>
      </c>
      <c r="E33" s="434"/>
      <c r="F33" s="434" t="s">
        <v>195</v>
      </c>
      <c r="G33" s="434"/>
      <c r="H33" s="434" t="s">
        <v>197</v>
      </c>
      <c r="I33" s="434"/>
      <c r="J33" s="434"/>
      <c r="K33" s="446"/>
      <c r="L33" s="447"/>
      <c r="M33" s="428"/>
      <c r="N33" s="428"/>
      <c r="O33" s="430"/>
      <c r="P33" s="418"/>
    </row>
    <row r="34" spans="1:17" s="419" customFormat="1" x14ac:dyDescent="0.3">
      <c r="A34" s="427"/>
      <c r="B34" s="428" t="s">
        <v>10</v>
      </c>
      <c r="C34" s="428"/>
      <c r="D34" s="447">
        <v>8.4591000000000006E-3</v>
      </c>
      <c r="E34" s="446"/>
      <c r="F34" s="447">
        <v>9.6591000000000003E-3</v>
      </c>
      <c r="G34" s="446"/>
      <c r="H34" s="447">
        <v>1.16591E-2</v>
      </c>
      <c r="I34" s="446"/>
      <c r="J34" s="447"/>
      <c r="K34" s="446"/>
      <c r="L34" s="447"/>
      <c r="M34" s="428"/>
      <c r="N34" s="446">
        <f>SUMPRODUCT(D34:H34,D29:H29)/N29</f>
        <v>8.9686059810733017E-3</v>
      </c>
      <c r="O34" s="430"/>
      <c r="P34" s="418"/>
    </row>
    <row r="35" spans="1:17" s="419" customFormat="1" x14ac:dyDescent="0.3">
      <c r="A35" s="427"/>
      <c r="B35" s="428" t="s">
        <v>11</v>
      </c>
      <c r="C35" s="428"/>
      <c r="D35" s="447">
        <v>7.5618999999999999E-3</v>
      </c>
      <c r="E35" s="446"/>
      <c r="F35" s="447">
        <v>8.7618999999999995E-3</v>
      </c>
      <c r="G35" s="446"/>
      <c r="H35" s="447">
        <v>1.07619E-2</v>
      </c>
      <c r="I35" s="447"/>
      <c r="J35" s="447"/>
      <c r="K35" s="446"/>
      <c r="L35" s="447"/>
      <c r="M35" s="428"/>
      <c r="N35" s="446" t="s">
        <v>165</v>
      </c>
      <c r="O35" s="430"/>
      <c r="P35" s="418"/>
    </row>
    <row r="36" spans="1:17" s="419" customFormat="1" x14ac:dyDescent="0.3">
      <c r="A36" s="427"/>
      <c r="B36" s="428" t="s">
        <v>12</v>
      </c>
      <c r="C36" s="428"/>
      <c r="D36" s="448">
        <v>40617</v>
      </c>
      <c r="E36" s="448"/>
      <c r="F36" s="448">
        <v>40617</v>
      </c>
      <c r="G36" s="448"/>
      <c r="H36" s="448">
        <v>40617</v>
      </c>
      <c r="I36" s="448"/>
      <c r="J36" s="448"/>
      <c r="K36" s="434"/>
      <c r="L36" s="434"/>
      <c r="M36" s="428"/>
      <c r="N36" s="428"/>
      <c r="O36" s="430"/>
      <c r="P36" s="418"/>
    </row>
    <row r="37" spans="1:17" s="419" customFormat="1" x14ac:dyDescent="0.3">
      <c r="A37" s="427"/>
      <c r="B37" s="428" t="s">
        <v>13</v>
      </c>
      <c r="C37" s="428"/>
      <c r="D37" s="448">
        <v>40983</v>
      </c>
      <c r="E37" s="434"/>
      <c r="F37" s="448">
        <v>40983</v>
      </c>
      <c r="G37" s="434"/>
      <c r="H37" s="448">
        <v>40983</v>
      </c>
      <c r="I37" s="434"/>
      <c r="J37" s="448"/>
      <c r="K37" s="434"/>
      <c r="L37" s="434"/>
      <c r="M37" s="428"/>
      <c r="N37" s="428"/>
      <c r="O37" s="430"/>
      <c r="P37" s="418"/>
    </row>
    <row r="38" spans="1:17" s="419" customFormat="1" x14ac:dyDescent="0.3">
      <c r="A38" s="427"/>
      <c r="B38" s="428" t="s">
        <v>118</v>
      </c>
      <c r="C38" s="428"/>
      <c r="D38" s="434" t="s">
        <v>193</v>
      </c>
      <c r="E38" s="434"/>
      <c r="F38" s="434" t="s">
        <v>195</v>
      </c>
      <c r="G38" s="434"/>
      <c r="H38" s="434" t="s">
        <v>197</v>
      </c>
      <c r="I38" s="434"/>
      <c r="J38" s="434"/>
      <c r="K38" s="449"/>
      <c r="L38" s="449"/>
      <c r="M38" s="449"/>
      <c r="N38" s="449"/>
      <c r="O38" s="430"/>
      <c r="P38" s="418"/>
    </row>
    <row r="39" spans="1:17" s="419" customFormat="1" x14ac:dyDescent="0.3">
      <c r="A39" s="427"/>
      <c r="B39" s="428"/>
      <c r="C39" s="428"/>
      <c r="D39" s="434"/>
      <c r="E39" s="434"/>
      <c r="F39" s="447"/>
      <c r="G39" s="434"/>
      <c r="H39" s="447"/>
      <c r="I39" s="434"/>
      <c r="J39" s="434"/>
      <c r="K39" s="428"/>
      <c r="L39" s="428"/>
      <c r="M39" s="428"/>
      <c r="N39" s="446" t="s">
        <v>165</v>
      </c>
      <c r="O39" s="430"/>
      <c r="P39" s="418"/>
    </row>
    <row r="40" spans="1:17" s="419" customFormat="1" x14ac:dyDescent="0.3">
      <c r="A40" s="427"/>
      <c r="B40" s="428" t="s">
        <v>156</v>
      </c>
      <c r="C40" s="428"/>
      <c r="D40" s="434"/>
      <c r="E40" s="434"/>
      <c r="F40" s="434"/>
      <c r="G40" s="434"/>
      <c r="H40" s="434"/>
      <c r="I40" s="434"/>
      <c r="J40" s="434"/>
      <c r="K40" s="428"/>
      <c r="L40" s="428"/>
      <c r="M40" s="428"/>
      <c r="N40" s="446">
        <f>SUM(F28:H28)/SUM(D28)</f>
        <v>3.109404990403071E-2</v>
      </c>
      <c r="O40" s="430"/>
      <c r="P40" s="418"/>
    </row>
    <row r="41" spans="1:17" s="419" customFormat="1" x14ac:dyDescent="0.3">
      <c r="A41" s="427"/>
      <c r="B41" s="428" t="s">
        <v>157</v>
      </c>
      <c r="C41" s="428"/>
      <c r="D41" s="428"/>
      <c r="E41" s="428"/>
      <c r="F41" s="428"/>
      <c r="G41" s="428"/>
      <c r="H41" s="428"/>
      <c r="I41" s="428"/>
      <c r="J41" s="428"/>
      <c r="K41" s="428"/>
      <c r="L41" s="428"/>
      <c r="M41" s="428"/>
      <c r="N41" s="446">
        <f>SUM(F30:H30)/SUM(D30)</f>
        <v>0.32570071001286977</v>
      </c>
      <c r="O41" s="430"/>
      <c r="P41" s="418"/>
    </row>
    <row r="42" spans="1:17" s="419" customFormat="1" x14ac:dyDescent="0.3">
      <c r="A42" s="427"/>
      <c r="B42" s="428" t="s">
        <v>158</v>
      </c>
      <c r="C42" s="428"/>
      <c r="D42" s="428"/>
      <c r="E42" s="428"/>
      <c r="F42" s="428"/>
      <c r="G42" s="428"/>
      <c r="H42" s="428"/>
      <c r="I42" s="428"/>
      <c r="J42" s="428"/>
      <c r="K42" s="428"/>
      <c r="L42" s="434" t="s">
        <v>103</v>
      </c>
      <c r="M42" s="434" t="s">
        <v>109</v>
      </c>
      <c r="N42" s="436">
        <f>+N28/2-SUM(F28:H28)</f>
        <v>126200</v>
      </c>
      <c r="O42" s="430"/>
      <c r="P42" s="418"/>
    </row>
    <row r="43" spans="1:17" s="419" customFormat="1" x14ac:dyDescent="0.3">
      <c r="A43" s="427"/>
      <c r="B43" s="428"/>
      <c r="C43" s="428"/>
      <c r="D43" s="428"/>
      <c r="E43" s="428"/>
      <c r="F43" s="428"/>
      <c r="G43" s="428"/>
      <c r="H43" s="428"/>
      <c r="I43" s="428"/>
      <c r="J43" s="428"/>
      <c r="K43" s="428"/>
      <c r="L43" s="428"/>
      <c r="M43" s="428"/>
      <c r="N43" s="450"/>
      <c r="O43" s="430"/>
      <c r="P43" s="418"/>
    </row>
    <row r="44" spans="1:17" s="419" customFormat="1" x14ac:dyDescent="0.3">
      <c r="A44" s="427"/>
      <c r="B44" s="428" t="s">
        <v>198</v>
      </c>
      <c r="C44" s="428"/>
      <c r="D44" s="428"/>
      <c r="E44" s="428"/>
      <c r="F44" s="428"/>
      <c r="G44" s="428"/>
      <c r="H44" s="428"/>
      <c r="I44" s="428"/>
      <c r="J44" s="428"/>
      <c r="K44" s="428"/>
      <c r="L44" s="434"/>
      <c r="M44" s="434"/>
      <c r="N44" s="451" t="s">
        <v>111</v>
      </c>
      <c r="O44" s="430"/>
      <c r="P44" s="418"/>
    </row>
    <row r="45" spans="1:17" s="419" customFormat="1" x14ac:dyDescent="0.3">
      <c r="A45" s="427"/>
      <c r="B45" s="433" t="s">
        <v>168</v>
      </c>
      <c r="C45" s="433"/>
      <c r="D45" s="433"/>
      <c r="E45" s="433"/>
      <c r="F45" s="433"/>
      <c r="G45" s="433"/>
      <c r="H45" s="433"/>
      <c r="I45" s="433"/>
      <c r="J45" s="433"/>
      <c r="K45" s="433"/>
      <c r="L45" s="452"/>
      <c r="M45" s="452"/>
      <c r="N45" s="453">
        <v>43266</v>
      </c>
      <c r="O45" s="430"/>
      <c r="P45" s="418"/>
    </row>
    <row r="46" spans="1:17" s="419" customFormat="1" x14ac:dyDescent="0.3">
      <c r="A46" s="427"/>
      <c r="B46" s="428" t="s">
        <v>119</v>
      </c>
      <c r="C46" s="428"/>
      <c r="D46" s="454"/>
      <c r="E46" s="454"/>
      <c r="F46" s="454"/>
      <c r="G46" s="454"/>
      <c r="H46" s="454"/>
      <c r="I46" s="454"/>
      <c r="J46" s="428">
        <f>+N46-L46+1</f>
        <v>90</v>
      </c>
      <c r="K46" s="454"/>
      <c r="L46" s="455">
        <v>43084</v>
      </c>
      <c r="M46" s="456"/>
      <c r="N46" s="455">
        <v>43173</v>
      </c>
      <c r="O46" s="430"/>
      <c r="P46" s="418"/>
    </row>
    <row r="47" spans="1:17" s="419" customFormat="1" x14ac:dyDescent="0.3">
      <c r="A47" s="427"/>
      <c r="B47" s="428" t="s">
        <v>120</v>
      </c>
      <c r="C47" s="428"/>
      <c r="D47" s="428"/>
      <c r="E47" s="428"/>
      <c r="F47" s="428"/>
      <c r="G47" s="428"/>
      <c r="H47" s="428"/>
      <c r="I47" s="428"/>
      <c r="J47" s="428">
        <f>+N47-L47+1</f>
        <v>92</v>
      </c>
      <c r="K47" s="428"/>
      <c r="L47" s="455">
        <v>43174</v>
      </c>
      <c r="M47" s="456"/>
      <c r="N47" s="455">
        <v>43265</v>
      </c>
      <c r="O47" s="430"/>
      <c r="P47" s="418"/>
    </row>
    <row r="48" spans="1:17" s="419" customFormat="1" x14ac:dyDescent="0.3">
      <c r="A48" s="427"/>
      <c r="B48" s="428" t="s">
        <v>199</v>
      </c>
      <c r="C48" s="428"/>
      <c r="D48" s="428"/>
      <c r="E48" s="428"/>
      <c r="F48" s="428"/>
      <c r="G48" s="428"/>
      <c r="H48" s="428"/>
      <c r="I48" s="428"/>
      <c r="J48" s="428"/>
      <c r="K48" s="428"/>
      <c r="L48" s="455"/>
      <c r="M48" s="456"/>
      <c r="N48" s="455" t="s">
        <v>143</v>
      </c>
      <c r="O48" s="430"/>
      <c r="P48" s="418"/>
      <c r="Q48" s="457"/>
    </row>
    <row r="49" spans="1:16" s="419" customFormat="1" x14ac:dyDescent="0.3">
      <c r="A49" s="427"/>
      <c r="B49" s="428" t="s">
        <v>14</v>
      </c>
      <c r="C49" s="428"/>
      <c r="D49" s="428"/>
      <c r="E49" s="428"/>
      <c r="F49" s="428"/>
      <c r="G49" s="428"/>
      <c r="H49" s="428"/>
      <c r="I49" s="428"/>
      <c r="J49" s="428"/>
      <c r="K49" s="428"/>
      <c r="L49" s="455"/>
      <c r="M49" s="456"/>
      <c r="N49" s="455">
        <v>43252</v>
      </c>
      <c r="O49" s="430"/>
      <c r="P49" s="418"/>
    </row>
    <row r="50" spans="1:16" s="419" customFormat="1" x14ac:dyDescent="0.3">
      <c r="A50" s="415"/>
      <c r="B50" s="458"/>
      <c r="C50" s="458"/>
      <c r="D50" s="458"/>
      <c r="E50" s="458"/>
      <c r="F50" s="458"/>
      <c r="G50" s="458"/>
      <c r="H50" s="458"/>
      <c r="I50" s="458"/>
      <c r="J50" s="458"/>
      <c r="K50" s="458"/>
      <c r="L50" s="459"/>
      <c r="M50" s="460"/>
      <c r="N50" s="459"/>
      <c r="O50" s="458"/>
      <c r="P50" s="418"/>
    </row>
    <row r="51" spans="1:16" s="419" customFormat="1" x14ac:dyDescent="0.3">
      <c r="A51" s="415"/>
      <c r="B51" s="416"/>
      <c r="C51" s="416"/>
      <c r="D51" s="416"/>
      <c r="E51" s="416"/>
      <c r="F51" s="416"/>
      <c r="G51" s="416"/>
      <c r="H51" s="416"/>
      <c r="I51" s="416"/>
      <c r="J51" s="416"/>
      <c r="K51" s="416"/>
      <c r="L51" s="461"/>
      <c r="M51" s="462"/>
      <c r="N51" s="461"/>
      <c r="O51" s="416"/>
      <c r="P51" s="418"/>
    </row>
    <row r="52" spans="1:16" s="419" customFormat="1" ht="18.600000000000001" thickBot="1" x14ac:dyDescent="0.4">
      <c r="A52" s="463"/>
      <c r="B52" s="464" t="s">
        <v>299</v>
      </c>
      <c r="C52" s="465"/>
      <c r="D52" s="465"/>
      <c r="E52" s="465"/>
      <c r="F52" s="465"/>
      <c r="G52" s="465"/>
      <c r="H52" s="465"/>
      <c r="I52" s="465"/>
      <c r="J52" s="465"/>
      <c r="K52" s="465"/>
      <c r="L52" s="465"/>
      <c r="M52" s="465"/>
      <c r="N52" s="466"/>
      <c r="O52" s="467"/>
      <c r="P52" s="418"/>
    </row>
    <row r="53" spans="1:16" x14ac:dyDescent="0.3">
      <c r="A53" s="585"/>
      <c r="B53" s="595" t="s">
        <v>15</v>
      </c>
      <c r="C53" s="586"/>
      <c r="D53" s="586"/>
      <c r="E53" s="586"/>
      <c r="F53" s="586"/>
      <c r="G53" s="586"/>
      <c r="H53" s="586"/>
      <c r="I53" s="586"/>
      <c r="J53" s="586"/>
      <c r="K53" s="586"/>
      <c r="L53" s="586"/>
      <c r="M53" s="586"/>
      <c r="N53" s="596"/>
      <c r="O53" s="586"/>
      <c r="P53" s="402"/>
    </row>
    <row r="54" spans="1:16" x14ac:dyDescent="0.3">
      <c r="A54" s="404"/>
      <c r="B54" s="413"/>
      <c r="C54" s="406"/>
      <c r="D54" s="406"/>
      <c r="E54" s="406"/>
      <c r="F54" s="406"/>
      <c r="G54" s="406"/>
      <c r="H54" s="406"/>
      <c r="I54" s="406"/>
      <c r="J54" s="406"/>
      <c r="K54" s="406"/>
      <c r="L54" s="406"/>
      <c r="M54" s="406"/>
      <c r="N54" s="468"/>
      <c r="O54" s="406"/>
      <c r="P54" s="402"/>
    </row>
    <row r="55" spans="1:16" s="569" customFormat="1" ht="46.8" x14ac:dyDescent="0.3">
      <c r="A55" s="572"/>
      <c r="B55" s="573" t="s">
        <v>16</v>
      </c>
      <c r="C55" s="574"/>
      <c r="D55" s="574" t="s">
        <v>91</v>
      </c>
      <c r="E55" s="574"/>
      <c r="F55" s="574" t="s">
        <v>93</v>
      </c>
      <c r="G55" s="574"/>
      <c r="H55" s="574" t="s">
        <v>95</v>
      </c>
      <c r="I55" s="574"/>
      <c r="J55" s="574" t="s">
        <v>97</v>
      </c>
      <c r="K55" s="574"/>
      <c r="L55" s="574" t="s">
        <v>104</v>
      </c>
      <c r="M55" s="574"/>
      <c r="N55" s="575" t="s">
        <v>112</v>
      </c>
      <c r="O55" s="576"/>
      <c r="P55" s="568"/>
    </row>
    <row r="56" spans="1:16" s="419" customFormat="1" x14ac:dyDescent="0.3">
      <c r="A56" s="427"/>
      <c r="B56" s="428" t="s">
        <v>17</v>
      </c>
      <c r="C56" s="469"/>
      <c r="D56" s="469">
        <v>268565</v>
      </c>
      <c r="E56" s="469"/>
      <c r="F56" s="470">
        <v>13785</v>
      </c>
      <c r="G56" s="469"/>
      <c r="H56" s="469">
        <v>774</v>
      </c>
      <c r="I56" s="469"/>
      <c r="J56" s="469">
        <v>0</v>
      </c>
      <c r="K56" s="469"/>
      <c r="L56" s="469">
        <v>0</v>
      </c>
      <c r="M56" s="469"/>
      <c r="N56" s="470">
        <f>+F56-H56+J56-L56</f>
        <v>13011</v>
      </c>
      <c r="O56" s="430"/>
      <c r="P56" s="418"/>
    </row>
    <row r="57" spans="1:16" s="419" customFormat="1" x14ac:dyDescent="0.3">
      <c r="A57" s="427"/>
      <c r="B57" s="428" t="s">
        <v>209</v>
      </c>
      <c r="C57" s="469"/>
      <c r="D57" s="469">
        <v>756</v>
      </c>
      <c r="E57" s="469"/>
      <c r="F57" s="470">
        <v>67</v>
      </c>
      <c r="G57" s="469"/>
      <c r="H57" s="469">
        <v>18</v>
      </c>
      <c r="I57" s="469"/>
      <c r="J57" s="469">
        <v>0</v>
      </c>
      <c r="K57" s="469"/>
      <c r="L57" s="469">
        <v>0</v>
      </c>
      <c r="M57" s="469"/>
      <c r="N57" s="470">
        <f>+F57-H57</f>
        <v>49</v>
      </c>
      <c r="O57" s="430"/>
      <c r="P57" s="418"/>
    </row>
    <row r="58" spans="1:16" s="419" customFormat="1" x14ac:dyDescent="0.3">
      <c r="A58" s="427"/>
      <c r="B58" s="428"/>
      <c r="C58" s="469"/>
      <c r="D58" s="469"/>
      <c r="E58" s="469"/>
      <c r="F58" s="470"/>
      <c r="G58" s="469"/>
      <c r="H58" s="469"/>
      <c r="I58" s="469"/>
      <c r="J58" s="469"/>
      <c r="K58" s="469"/>
      <c r="L58" s="469"/>
      <c r="M58" s="469"/>
      <c r="N58" s="470"/>
      <c r="O58" s="430"/>
      <c r="P58" s="418"/>
    </row>
    <row r="59" spans="1:16" s="419" customFormat="1" x14ac:dyDescent="0.3">
      <c r="A59" s="427"/>
      <c r="B59" s="428" t="s">
        <v>19</v>
      </c>
      <c r="C59" s="469"/>
      <c r="D59" s="469">
        <f>SUM(D56:D58)</f>
        <v>269321</v>
      </c>
      <c r="E59" s="469"/>
      <c r="F59" s="469">
        <f>F56+F57</f>
        <v>13852</v>
      </c>
      <c r="G59" s="469"/>
      <c r="H59" s="469">
        <f>SUM(H56:H58)</f>
        <v>792</v>
      </c>
      <c r="I59" s="469"/>
      <c r="J59" s="469">
        <f>SUM(J56:J58)</f>
        <v>0</v>
      </c>
      <c r="K59" s="469"/>
      <c r="L59" s="469">
        <f>SUM(L56:L58)</f>
        <v>0</v>
      </c>
      <c r="M59" s="469"/>
      <c r="N59" s="469">
        <f>SUM(N56:N58)</f>
        <v>13060</v>
      </c>
      <c r="O59" s="430"/>
      <c r="P59" s="418"/>
    </row>
    <row r="60" spans="1:16" x14ac:dyDescent="0.3">
      <c r="A60" s="404"/>
      <c r="B60" s="471"/>
      <c r="C60" s="472"/>
      <c r="D60" s="472"/>
      <c r="E60" s="472"/>
      <c r="F60" s="472"/>
      <c r="G60" s="472"/>
      <c r="H60" s="472"/>
      <c r="I60" s="472"/>
      <c r="J60" s="472"/>
      <c r="K60" s="472"/>
      <c r="L60" s="472"/>
      <c r="M60" s="472"/>
      <c r="N60" s="473"/>
      <c r="O60" s="471"/>
      <c r="P60" s="402"/>
    </row>
    <row r="61" spans="1:16" x14ac:dyDescent="0.3">
      <c r="A61" s="404"/>
      <c r="B61" s="408" t="s">
        <v>20</v>
      </c>
      <c r="C61" s="474"/>
      <c r="D61" s="474"/>
      <c r="E61" s="474"/>
      <c r="F61" s="474"/>
      <c r="G61" s="474"/>
      <c r="H61" s="474"/>
      <c r="I61" s="474"/>
      <c r="J61" s="474"/>
      <c r="K61" s="474"/>
      <c r="L61" s="474"/>
      <c r="M61" s="474"/>
      <c r="N61" s="475"/>
      <c r="O61" s="406"/>
      <c r="P61" s="402"/>
    </row>
    <row r="62" spans="1:16" x14ac:dyDescent="0.3">
      <c r="A62" s="404"/>
      <c r="B62" s="406"/>
      <c r="C62" s="474"/>
      <c r="D62" s="474"/>
      <c r="E62" s="474"/>
      <c r="F62" s="474"/>
      <c r="G62" s="474"/>
      <c r="H62" s="474"/>
      <c r="I62" s="474"/>
      <c r="J62" s="474"/>
      <c r="K62" s="474"/>
      <c r="L62" s="474"/>
      <c r="M62" s="474"/>
      <c r="N62" s="475"/>
      <c r="O62" s="406"/>
      <c r="P62" s="402"/>
    </row>
    <row r="63" spans="1:16" s="419" customFormat="1" x14ac:dyDescent="0.3">
      <c r="A63" s="427"/>
      <c r="B63" s="428" t="s">
        <v>17</v>
      </c>
      <c r="C63" s="469"/>
      <c r="D63" s="469"/>
      <c r="E63" s="469"/>
      <c r="F63" s="469"/>
      <c r="G63" s="469"/>
      <c r="H63" s="469"/>
      <c r="I63" s="469"/>
      <c r="J63" s="469"/>
      <c r="K63" s="469"/>
      <c r="L63" s="469"/>
      <c r="M63" s="469"/>
      <c r="N63" s="469"/>
      <c r="O63" s="430"/>
      <c r="P63" s="418"/>
    </row>
    <row r="64" spans="1:16" s="419" customFormat="1" x14ac:dyDescent="0.3">
      <c r="A64" s="427"/>
      <c r="B64" s="428" t="s">
        <v>18</v>
      </c>
      <c r="C64" s="469"/>
      <c r="D64" s="469"/>
      <c r="E64" s="469"/>
      <c r="F64" s="469"/>
      <c r="G64" s="469"/>
      <c r="H64" s="469"/>
      <c r="I64" s="469"/>
      <c r="J64" s="469"/>
      <c r="K64" s="469"/>
      <c r="L64" s="469"/>
      <c r="M64" s="469"/>
      <c r="N64" s="469"/>
      <c r="O64" s="430"/>
      <c r="P64" s="418"/>
    </row>
    <row r="65" spans="1:16" s="419" customFormat="1" x14ac:dyDescent="0.3">
      <c r="A65" s="427"/>
      <c r="B65" s="428"/>
      <c r="C65" s="469"/>
      <c r="D65" s="469"/>
      <c r="E65" s="469"/>
      <c r="F65" s="469"/>
      <c r="G65" s="469"/>
      <c r="H65" s="469"/>
      <c r="I65" s="469"/>
      <c r="J65" s="469"/>
      <c r="K65" s="469"/>
      <c r="L65" s="469"/>
      <c r="M65" s="469"/>
      <c r="N65" s="469"/>
      <c r="O65" s="430"/>
      <c r="P65" s="418"/>
    </row>
    <row r="66" spans="1:16" s="419" customFormat="1" x14ac:dyDescent="0.3">
      <c r="A66" s="427"/>
      <c r="B66" s="428" t="s">
        <v>19</v>
      </c>
      <c r="C66" s="469"/>
      <c r="D66" s="469"/>
      <c r="E66" s="469"/>
      <c r="F66" s="469"/>
      <c r="G66" s="469"/>
      <c r="H66" s="469"/>
      <c r="I66" s="469"/>
      <c r="J66" s="469"/>
      <c r="K66" s="469"/>
      <c r="L66" s="469"/>
      <c r="M66" s="469"/>
      <c r="N66" s="469"/>
      <c r="O66" s="430"/>
      <c r="P66" s="418"/>
    </row>
    <row r="67" spans="1:16" s="419" customFormat="1" x14ac:dyDescent="0.3">
      <c r="A67" s="427"/>
      <c r="B67" s="428"/>
      <c r="C67" s="469"/>
      <c r="D67" s="469"/>
      <c r="E67" s="469"/>
      <c r="F67" s="469"/>
      <c r="G67" s="469"/>
      <c r="H67" s="469"/>
      <c r="I67" s="469"/>
      <c r="J67" s="469"/>
      <c r="K67" s="469"/>
      <c r="L67" s="469"/>
      <c r="M67" s="469"/>
      <c r="N67" s="469"/>
      <c r="O67" s="430"/>
      <c r="P67" s="418"/>
    </row>
    <row r="68" spans="1:16" s="419" customFormat="1" x14ac:dyDescent="0.3">
      <c r="A68" s="427"/>
      <c r="B68" s="428" t="s">
        <v>209</v>
      </c>
      <c r="C68" s="469"/>
      <c r="D68" s="469">
        <v>-756</v>
      </c>
      <c r="E68" s="469"/>
      <c r="F68" s="469">
        <v>-67</v>
      </c>
      <c r="G68" s="469"/>
      <c r="H68" s="469"/>
      <c r="I68" s="469"/>
      <c r="J68" s="469"/>
      <c r="K68" s="469"/>
      <c r="L68" s="469"/>
      <c r="M68" s="469"/>
      <c r="N68" s="470">
        <f>-N57</f>
        <v>-49</v>
      </c>
      <c r="O68" s="430"/>
      <c r="P68" s="418"/>
    </row>
    <row r="69" spans="1:16" s="419" customFormat="1" x14ac:dyDescent="0.3">
      <c r="A69" s="427"/>
      <c r="B69" s="428" t="s">
        <v>21</v>
      </c>
      <c r="C69" s="469"/>
      <c r="D69" s="469">
        <v>0</v>
      </c>
      <c r="E69" s="469"/>
      <c r="F69" s="469">
        <v>0</v>
      </c>
      <c r="G69" s="469"/>
      <c r="H69" s="469"/>
      <c r="I69" s="469"/>
      <c r="J69" s="469"/>
      <c r="K69" s="469"/>
      <c r="L69" s="469"/>
      <c r="M69" s="469"/>
      <c r="N69" s="469">
        <f>SUM(D69:J69)</f>
        <v>0</v>
      </c>
      <c r="O69" s="430"/>
      <c r="P69" s="418"/>
    </row>
    <row r="70" spans="1:16" s="419" customFormat="1" x14ac:dyDescent="0.3">
      <c r="A70" s="427"/>
      <c r="B70" s="428" t="s">
        <v>210</v>
      </c>
      <c r="C70" s="469"/>
      <c r="D70" s="469">
        <v>35</v>
      </c>
      <c r="E70" s="469"/>
      <c r="F70" s="469">
        <v>0</v>
      </c>
      <c r="G70" s="469"/>
      <c r="H70" s="469">
        <v>0</v>
      </c>
      <c r="I70" s="469"/>
      <c r="J70" s="469"/>
      <c r="K70" s="469"/>
      <c r="L70" s="469"/>
      <c r="M70" s="469"/>
      <c r="N70" s="469">
        <f>+F70+H70</f>
        <v>0</v>
      </c>
      <c r="O70" s="430"/>
      <c r="P70" s="418"/>
    </row>
    <row r="71" spans="1:16" s="419" customFormat="1" x14ac:dyDescent="0.3">
      <c r="A71" s="427"/>
      <c r="B71" s="428" t="s">
        <v>23</v>
      </c>
      <c r="C71" s="469"/>
      <c r="D71" s="469">
        <v>0</v>
      </c>
      <c r="E71" s="469"/>
      <c r="F71" s="469">
        <v>0</v>
      </c>
      <c r="G71" s="469"/>
      <c r="H71" s="469"/>
      <c r="I71" s="469"/>
      <c r="J71" s="469"/>
      <c r="K71" s="469"/>
      <c r="L71" s="469"/>
      <c r="M71" s="469"/>
      <c r="N71" s="469">
        <v>0</v>
      </c>
      <c r="O71" s="430"/>
      <c r="P71" s="418"/>
    </row>
    <row r="72" spans="1:16" s="419" customFormat="1" x14ac:dyDescent="0.3">
      <c r="A72" s="427"/>
      <c r="B72" s="428" t="s">
        <v>24</v>
      </c>
      <c r="C72" s="469"/>
      <c r="D72" s="469">
        <f>SUM(D59:D71)</f>
        <v>268600</v>
      </c>
      <c r="E72" s="469"/>
      <c r="F72" s="469">
        <f>SUM(F59:F71)</f>
        <v>13785</v>
      </c>
      <c r="G72" s="469"/>
      <c r="H72" s="469"/>
      <c r="I72" s="469"/>
      <c r="J72" s="469"/>
      <c r="K72" s="469"/>
      <c r="L72" s="469"/>
      <c r="M72" s="469"/>
      <c r="N72" s="469">
        <f>SUM(N59:N71)</f>
        <v>13011</v>
      </c>
      <c r="O72" s="430"/>
      <c r="P72" s="418"/>
    </row>
    <row r="73" spans="1:16" x14ac:dyDescent="0.3">
      <c r="A73" s="404"/>
      <c r="B73" s="476"/>
      <c r="C73" s="477"/>
      <c r="D73" s="477"/>
      <c r="E73" s="477"/>
      <c r="F73" s="477"/>
      <c r="G73" s="477"/>
      <c r="H73" s="477"/>
      <c r="I73" s="477"/>
      <c r="J73" s="477"/>
      <c r="K73" s="477"/>
      <c r="L73" s="477"/>
      <c r="M73" s="477"/>
      <c r="N73" s="477"/>
      <c r="O73" s="476"/>
      <c r="P73" s="402"/>
    </row>
    <row r="74" spans="1:16" x14ac:dyDescent="0.3">
      <c r="A74" s="404"/>
      <c r="B74" s="478"/>
      <c r="C74" s="478"/>
      <c r="D74" s="478"/>
      <c r="E74" s="478"/>
      <c r="F74" s="478"/>
      <c r="G74" s="478"/>
      <c r="H74" s="478"/>
      <c r="I74" s="478"/>
      <c r="J74" s="478"/>
      <c r="K74" s="478"/>
      <c r="L74" s="478"/>
      <c r="M74" s="478"/>
      <c r="N74" s="478"/>
      <c r="O74" s="478"/>
      <c r="P74" s="402"/>
    </row>
    <row r="75" spans="1:16" x14ac:dyDescent="0.3">
      <c r="A75" s="585"/>
      <c r="B75" s="599" t="s">
        <v>25</v>
      </c>
      <c r="C75" s="599"/>
      <c r="D75" s="600" t="s">
        <v>92</v>
      </c>
      <c r="E75" s="601"/>
      <c r="F75" s="602">
        <f>+L183</f>
        <v>43251</v>
      </c>
      <c r="G75" s="601"/>
      <c r="H75" s="601"/>
      <c r="I75" s="601"/>
      <c r="J75" s="601"/>
      <c r="K75" s="601"/>
      <c r="L75" s="601" t="s">
        <v>105</v>
      </c>
      <c r="M75" s="601"/>
      <c r="N75" s="601" t="s">
        <v>113</v>
      </c>
      <c r="O75" s="594"/>
      <c r="P75" s="402"/>
    </row>
    <row r="76" spans="1:16" s="419" customFormat="1" x14ac:dyDescent="0.3">
      <c r="A76" s="587"/>
      <c r="B76" s="588" t="s">
        <v>26</v>
      </c>
      <c r="C76" s="588"/>
      <c r="D76" s="588"/>
      <c r="E76" s="588"/>
      <c r="F76" s="588"/>
      <c r="G76" s="588"/>
      <c r="H76" s="588"/>
      <c r="I76" s="588"/>
      <c r="J76" s="588"/>
      <c r="K76" s="588"/>
      <c r="L76" s="597">
        <v>0</v>
      </c>
      <c r="M76" s="588"/>
      <c r="N76" s="598">
        <v>0</v>
      </c>
      <c r="O76" s="590"/>
      <c r="P76" s="418"/>
    </row>
    <row r="77" spans="1:16" s="419" customFormat="1" x14ac:dyDescent="0.3">
      <c r="A77" s="427"/>
      <c r="B77" s="428" t="s">
        <v>27</v>
      </c>
      <c r="C77" s="428"/>
      <c r="D77" s="449"/>
      <c r="E77" s="428"/>
      <c r="F77" s="479"/>
      <c r="G77" s="428"/>
      <c r="H77" s="428"/>
      <c r="I77" s="428"/>
      <c r="J77" s="428"/>
      <c r="K77" s="428"/>
      <c r="L77" s="469">
        <v>774</v>
      </c>
      <c r="M77" s="428"/>
      <c r="N77" s="470"/>
      <c r="O77" s="430"/>
      <c r="P77" s="418"/>
    </row>
    <row r="78" spans="1:16" s="419" customFormat="1" x14ac:dyDescent="0.3">
      <c r="A78" s="427"/>
      <c r="B78" s="428" t="s">
        <v>176</v>
      </c>
      <c r="C78" s="428"/>
      <c r="D78" s="449"/>
      <c r="E78" s="428"/>
      <c r="F78" s="479"/>
      <c r="G78" s="428"/>
      <c r="H78" s="428"/>
      <c r="I78" s="428"/>
      <c r="J78" s="428"/>
      <c r="K78" s="428"/>
      <c r="L78" s="469"/>
      <c r="M78" s="428"/>
      <c r="N78" s="470">
        <f>393+49+54-289-25-32</f>
        <v>150</v>
      </c>
      <c r="O78" s="430"/>
      <c r="P78" s="418"/>
    </row>
    <row r="79" spans="1:16" s="419" customFormat="1" x14ac:dyDescent="0.3">
      <c r="A79" s="427"/>
      <c r="B79" s="428" t="s">
        <v>174</v>
      </c>
      <c r="C79" s="428"/>
      <c r="D79" s="449"/>
      <c r="E79" s="428"/>
      <c r="F79" s="479"/>
      <c r="G79" s="428"/>
      <c r="H79" s="428"/>
      <c r="I79" s="428"/>
      <c r="J79" s="428"/>
      <c r="K79" s="428"/>
      <c r="L79" s="469"/>
      <c r="M79" s="428"/>
      <c r="N79" s="470">
        <v>5</v>
      </c>
      <c r="O79" s="430"/>
      <c r="P79" s="418"/>
    </row>
    <row r="80" spans="1:16" s="419" customFormat="1" x14ac:dyDescent="0.3">
      <c r="A80" s="427"/>
      <c r="B80" s="428" t="s">
        <v>175</v>
      </c>
      <c r="C80" s="428"/>
      <c r="D80" s="449"/>
      <c r="E80" s="428"/>
      <c r="F80" s="479"/>
      <c r="G80" s="428"/>
      <c r="H80" s="428"/>
      <c r="I80" s="428"/>
      <c r="J80" s="428"/>
      <c r="K80" s="428"/>
      <c r="L80" s="469"/>
      <c r="M80" s="428"/>
      <c r="N80" s="470">
        <v>1</v>
      </c>
      <c r="O80" s="430"/>
      <c r="P80" s="418"/>
    </row>
    <row r="81" spans="1:17" s="419" customFormat="1" x14ac:dyDescent="0.3">
      <c r="A81" s="427"/>
      <c r="B81" s="428" t="s">
        <v>131</v>
      </c>
      <c r="C81" s="428"/>
      <c r="D81" s="428"/>
      <c r="E81" s="428"/>
      <c r="F81" s="428"/>
      <c r="G81" s="428"/>
      <c r="H81" s="428"/>
      <c r="I81" s="428"/>
      <c r="J81" s="428"/>
      <c r="K81" s="428"/>
      <c r="L81" s="469"/>
      <c r="M81" s="428"/>
      <c r="N81" s="470">
        <v>0</v>
      </c>
      <c r="O81" s="430"/>
      <c r="P81" s="418"/>
    </row>
    <row r="82" spans="1:17" s="419" customFormat="1" x14ac:dyDescent="0.3">
      <c r="A82" s="427"/>
      <c r="B82" s="428" t="s">
        <v>211</v>
      </c>
      <c r="C82" s="428"/>
      <c r="D82" s="428"/>
      <c r="E82" s="428"/>
      <c r="F82" s="428"/>
      <c r="G82" s="428"/>
      <c r="H82" s="428"/>
      <c r="I82" s="428"/>
      <c r="J82" s="428"/>
      <c r="K82" s="428"/>
      <c r="L82" s="469"/>
      <c r="M82" s="428"/>
      <c r="N82" s="470">
        <v>0</v>
      </c>
      <c r="O82" s="430"/>
      <c r="P82" s="418"/>
    </row>
    <row r="83" spans="1:17" s="419" customFormat="1" x14ac:dyDescent="0.3">
      <c r="A83" s="427"/>
      <c r="B83" s="428" t="s">
        <v>28</v>
      </c>
      <c r="C83" s="428"/>
      <c r="D83" s="428"/>
      <c r="E83" s="428"/>
      <c r="F83" s="428"/>
      <c r="G83" s="428"/>
      <c r="H83" s="428"/>
      <c r="I83" s="428"/>
      <c r="J83" s="428"/>
      <c r="K83" s="428"/>
      <c r="L83" s="469">
        <f>SUM(L76:L82)</f>
        <v>774</v>
      </c>
      <c r="M83" s="428"/>
      <c r="N83" s="469">
        <f>SUM(N76:N82)</f>
        <v>156</v>
      </c>
      <c r="O83" s="430"/>
      <c r="P83" s="418"/>
    </row>
    <row r="84" spans="1:17" s="419" customFormat="1" x14ac:dyDescent="0.3">
      <c r="A84" s="427"/>
      <c r="B84" s="428" t="s">
        <v>148</v>
      </c>
      <c r="C84" s="428"/>
      <c r="D84" s="428"/>
      <c r="E84" s="428"/>
      <c r="F84" s="428"/>
      <c r="G84" s="428"/>
      <c r="H84" s="428"/>
      <c r="I84" s="428"/>
      <c r="J84" s="428"/>
      <c r="K84" s="428"/>
      <c r="L84" s="469">
        <v>0</v>
      </c>
      <c r="M84" s="428"/>
      <c r="N84" s="469">
        <f>-L84</f>
        <v>0</v>
      </c>
      <c r="O84" s="430"/>
      <c r="P84" s="418"/>
    </row>
    <row r="85" spans="1:17" s="419" customFormat="1" x14ac:dyDescent="0.3">
      <c r="A85" s="427"/>
      <c r="B85" s="428" t="s">
        <v>29</v>
      </c>
      <c r="C85" s="428"/>
      <c r="D85" s="428"/>
      <c r="E85" s="428"/>
      <c r="F85" s="428"/>
      <c r="G85" s="428"/>
      <c r="H85" s="428"/>
      <c r="I85" s="428"/>
      <c r="J85" s="428"/>
      <c r="K85" s="428"/>
      <c r="L85" s="469">
        <f>-N85</f>
        <v>0</v>
      </c>
      <c r="M85" s="428"/>
      <c r="N85" s="470">
        <v>0</v>
      </c>
      <c r="O85" s="430"/>
      <c r="P85" s="418"/>
    </row>
    <row r="86" spans="1:17" s="419" customFormat="1" x14ac:dyDescent="0.3">
      <c r="A86" s="427"/>
      <c r="B86" s="428" t="s">
        <v>244</v>
      </c>
      <c r="C86" s="428"/>
      <c r="D86" s="428"/>
      <c r="E86" s="428"/>
      <c r="F86" s="428"/>
      <c r="G86" s="428"/>
      <c r="H86" s="428"/>
      <c r="I86" s="428"/>
      <c r="J86" s="428"/>
      <c r="K86" s="428"/>
      <c r="L86" s="469"/>
      <c r="M86" s="428"/>
      <c r="N86" s="470">
        <v>0</v>
      </c>
      <c r="O86" s="430"/>
      <c r="P86" s="418"/>
    </row>
    <row r="87" spans="1:17" s="419" customFormat="1" x14ac:dyDescent="0.3">
      <c r="A87" s="427"/>
      <c r="B87" s="428" t="s">
        <v>30</v>
      </c>
      <c r="C87" s="428"/>
      <c r="D87" s="428"/>
      <c r="E87" s="428"/>
      <c r="F87" s="428"/>
      <c r="G87" s="428"/>
      <c r="H87" s="428"/>
      <c r="I87" s="428"/>
      <c r="J87" s="428"/>
      <c r="K87" s="428"/>
      <c r="L87" s="469">
        <f>L83+L85+L84</f>
        <v>774</v>
      </c>
      <c r="M87" s="428"/>
      <c r="N87" s="469">
        <f>N83+N85+N84+N86</f>
        <v>156</v>
      </c>
      <c r="O87" s="430"/>
      <c r="P87" s="418"/>
    </row>
    <row r="88" spans="1:17" x14ac:dyDescent="0.3">
      <c r="A88" s="442"/>
      <c r="B88" s="577" t="s">
        <v>31</v>
      </c>
      <c r="C88" s="443"/>
      <c r="D88" s="443"/>
      <c r="E88" s="443"/>
      <c r="F88" s="443"/>
      <c r="G88" s="443"/>
      <c r="H88" s="443"/>
      <c r="I88" s="443"/>
      <c r="J88" s="443"/>
      <c r="K88" s="443"/>
      <c r="L88" s="480"/>
      <c r="M88" s="443"/>
      <c r="N88" s="481"/>
      <c r="O88" s="445"/>
      <c r="P88" s="402"/>
    </row>
    <row r="89" spans="1:17" s="419" customFormat="1" x14ac:dyDescent="0.3">
      <c r="A89" s="427">
        <v>1</v>
      </c>
      <c r="B89" s="428" t="s">
        <v>32</v>
      </c>
      <c r="C89" s="428"/>
      <c r="D89" s="428"/>
      <c r="E89" s="428"/>
      <c r="F89" s="428"/>
      <c r="G89" s="428"/>
      <c r="H89" s="428"/>
      <c r="I89" s="428"/>
      <c r="J89" s="428"/>
      <c r="K89" s="428"/>
      <c r="L89" s="428"/>
      <c r="M89" s="428"/>
      <c r="N89" s="470">
        <v>0</v>
      </c>
      <c r="O89" s="430"/>
      <c r="P89" s="418"/>
    </row>
    <row r="90" spans="1:17" s="419" customFormat="1" x14ac:dyDescent="0.3">
      <c r="A90" s="427">
        <f>+A89+1</f>
        <v>2</v>
      </c>
      <c r="B90" s="428" t="s">
        <v>224</v>
      </c>
      <c r="C90" s="428"/>
      <c r="D90" s="428"/>
      <c r="E90" s="428"/>
      <c r="F90" s="428"/>
      <c r="G90" s="428"/>
      <c r="H90" s="428"/>
      <c r="I90" s="428"/>
      <c r="J90" s="428"/>
      <c r="K90" s="428"/>
      <c r="L90" s="428"/>
      <c r="M90" s="428"/>
      <c r="N90" s="470">
        <v>-2</v>
      </c>
      <c r="O90" s="430"/>
      <c r="P90" s="418"/>
    </row>
    <row r="91" spans="1:17" s="419" customFormat="1" x14ac:dyDescent="0.3">
      <c r="A91" s="427">
        <f>+A90+1</f>
        <v>3</v>
      </c>
      <c r="B91" s="428" t="s">
        <v>235</v>
      </c>
      <c r="C91" s="428"/>
      <c r="D91" s="428"/>
      <c r="E91" s="428"/>
      <c r="F91" s="428"/>
      <c r="G91" s="428"/>
      <c r="H91" s="428"/>
      <c r="I91" s="428"/>
      <c r="J91" s="428"/>
      <c r="K91" s="428"/>
      <c r="L91" s="428"/>
      <c r="M91" s="428"/>
      <c r="N91" s="470">
        <f>-6-35</f>
        <v>-41</v>
      </c>
      <c r="O91" s="430"/>
      <c r="P91" s="418"/>
    </row>
    <row r="92" spans="1:17" s="419" customFormat="1" x14ac:dyDescent="0.3">
      <c r="A92" s="427" t="s">
        <v>123</v>
      </c>
      <c r="B92" s="428" t="s">
        <v>116</v>
      </c>
      <c r="C92" s="428"/>
      <c r="D92" s="428"/>
      <c r="E92" s="428"/>
      <c r="F92" s="428"/>
      <c r="G92" s="428"/>
      <c r="H92" s="428"/>
      <c r="I92" s="428"/>
      <c r="J92" s="428"/>
      <c r="K92" s="428"/>
      <c r="L92" s="428"/>
      <c r="M92" s="428"/>
      <c r="N92" s="470">
        <v>0</v>
      </c>
      <c r="O92" s="430"/>
      <c r="P92" s="418"/>
    </row>
    <row r="93" spans="1:17" s="419" customFormat="1" x14ac:dyDescent="0.3">
      <c r="A93" s="427" t="s">
        <v>124</v>
      </c>
      <c r="B93" s="428" t="s">
        <v>214</v>
      </c>
      <c r="C93" s="428"/>
      <c r="D93" s="428"/>
      <c r="E93" s="428"/>
      <c r="F93" s="428"/>
      <c r="G93" s="428"/>
      <c r="H93" s="428"/>
      <c r="I93" s="428"/>
      <c r="J93" s="428"/>
      <c r="K93" s="428"/>
      <c r="L93" s="428"/>
      <c r="M93" s="428"/>
      <c r="N93" s="470">
        <v>-23</v>
      </c>
      <c r="O93" s="430"/>
      <c r="P93" s="418"/>
    </row>
    <row r="94" spans="1:17" s="419" customFormat="1" x14ac:dyDescent="0.3">
      <c r="A94" s="427" t="s">
        <v>140</v>
      </c>
      <c r="B94" s="428" t="s">
        <v>180</v>
      </c>
      <c r="C94" s="428"/>
      <c r="D94" s="428"/>
      <c r="E94" s="428"/>
      <c r="F94" s="428"/>
      <c r="G94" s="428"/>
      <c r="H94" s="428"/>
      <c r="I94" s="428"/>
      <c r="J94" s="428"/>
      <c r="K94" s="428"/>
      <c r="L94" s="428"/>
      <c r="M94" s="428"/>
      <c r="N94" s="470">
        <v>0</v>
      </c>
      <c r="O94" s="430"/>
      <c r="P94" s="418"/>
    </row>
    <row r="95" spans="1:17" s="419" customFormat="1" x14ac:dyDescent="0.3">
      <c r="A95" s="427" t="s">
        <v>169</v>
      </c>
      <c r="B95" s="428" t="s">
        <v>215</v>
      </c>
      <c r="C95" s="428"/>
      <c r="D95" s="428"/>
      <c r="E95" s="428"/>
      <c r="F95" s="428"/>
      <c r="G95" s="428"/>
      <c r="H95" s="428"/>
      <c r="I95" s="428"/>
      <c r="J95" s="428"/>
      <c r="K95" s="428"/>
      <c r="L95" s="428"/>
      <c r="M95" s="428"/>
      <c r="N95" s="470">
        <v>-4</v>
      </c>
      <c r="O95" s="430"/>
      <c r="P95" s="418"/>
      <c r="Q95" s="482"/>
    </row>
    <row r="96" spans="1:17" s="419" customFormat="1" x14ac:dyDescent="0.3">
      <c r="A96" s="427" t="s">
        <v>170</v>
      </c>
      <c r="B96" s="428" t="s">
        <v>216</v>
      </c>
      <c r="C96" s="428"/>
      <c r="D96" s="428"/>
      <c r="E96" s="428"/>
      <c r="F96" s="428"/>
      <c r="G96" s="428"/>
      <c r="H96" s="428"/>
      <c r="I96" s="428"/>
      <c r="J96" s="428"/>
      <c r="K96" s="428"/>
      <c r="L96" s="428"/>
      <c r="M96" s="428"/>
      <c r="N96" s="470">
        <v>-5</v>
      </c>
      <c r="O96" s="430"/>
      <c r="P96" s="418"/>
      <c r="Q96" s="482"/>
    </row>
    <row r="97" spans="1:16" s="419" customFormat="1" x14ac:dyDescent="0.3">
      <c r="A97" s="427">
        <v>7</v>
      </c>
      <c r="B97" s="428" t="s">
        <v>33</v>
      </c>
      <c r="C97" s="428"/>
      <c r="D97" s="428"/>
      <c r="E97" s="428"/>
      <c r="F97" s="428"/>
      <c r="G97" s="428"/>
      <c r="H97" s="428"/>
      <c r="I97" s="428"/>
      <c r="J97" s="428"/>
      <c r="K97" s="428"/>
      <c r="L97" s="428"/>
      <c r="M97" s="428"/>
      <c r="N97" s="470">
        <v>-7</v>
      </c>
      <c r="O97" s="430"/>
      <c r="P97" s="418"/>
    </row>
    <row r="98" spans="1:16" s="419" customFormat="1" x14ac:dyDescent="0.3">
      <c r="A98" s="427">
        <f t="shared" ref="A98:A104" si="0">+A97+1</f>
        <v>8</v>
      </c>
      <c r="B98" s="428" t="s">
        <v>42</v>
      </c>
      <c r="C98" s="428"/>
      <c r="D98" s="428"/>
      <c r="E98" s="428"/>
      <c r="F98" s="428"/>
      <c r="G98" s="428"/>
      <c r="H98" s="428"/>
      <c r="I98" s="428"/>
      <c r="J98" s="428"/>
      <c r="K98" s="428"/>
      <c r="L98" s="469">
        <f>-N98</f>
        <v>0</v>
      </c>
      <c r="M98" s="428"/>
      <c r="N98" s="470">
        <v>0</v>
      </c>
      <c r="O98" s="430"/>
      <c r="P98" s="418"/>
    </row>
    <row r="99" spans="1:16" s="419" customFormat="1" x14ac:dyDescent="0.3">
      <c r="A99" s="427">
        <f t="shared" si="0"/>
        <v>9</v>
      </c>
      <c r="B99" s="428" t="s">
        <v>121</v>
      </c>
      <c r="C99" s="428"/>
      <c r="D99" s="428"/>
      <c r="E99" s="428"/>
      <c r="F99" s="428"/>
      <c r="G99" s="428"/>
      <c r="H99" s="428"/>
      <c r="I99" s="428"/>
      <c r="J99" s="428"/>
      <c r="K99" s="428"/>
      <c r="L99" s="428"/>
      <c r="M99" s="428"/>
      <c r="N99" s="470">
        <v>0</v>
      </c>
      <c r="O99" s="430"/>
      <c r="P99" s="418"/>
    </row>
    <row r="100" spans="1:16" s="419" customFormat="1" x14ac:dyDescent="0.3">
      <c r="A100" s="427">
        <f t="shared" si="0"/>
        <v>10</v>
      </c>
      <c r="B100" s="428" t="s">
        <v>182</v>
      </c>
      <c r="C100" s="428"/>
      <c r="D100" s="428"/>
      <c r="E100" s="428"/>
      <c r="F100" s="428"/>
      <c r="G100" s="428"/>
      <c r="H100" s="428"/>
      <c r="I100" s="428"/>
      <c r="J100" s="428"/>
      <c r="K100" s="428"/>
      <c r="L100" s="428"/>
      <c r="M100" s="428"/>
      <c r="N100" s="470">
        <v>0</v>
      </c>
      <c r="O100" s="430"/>
      <c r="P100" s="418"/>
    </row>
    <row r="101" spans="1:16" s="419" customFormat="1" x14ac:dyDescent="0.3">
      <c r="A101" s="427">
        <f t="shared" si="0"/>
        <v>11</v>
      </c>
      <c r="B101" s="428" t="s">
        <v>34</v>
      </c>
      <c r="C101" s="428"/>
      <c r="D101" s="428"/>
      <c r="E101" s="428"/>
      <c r="F101" s="428"/>
      <c r="G101" s="428"/>
      <c r="H101" s="428"/>
      <c r="I101" s="428"/>
      <c r="J101" s="428"/>
      <c r="K101" s="428"/>
      <c r="L101" s="428"/>
      <c r="M101" s="428"/>
      <c r="N101" s="470">
        <v>0</v>
      </c>
      <c r="O101" s="430"/>
      <c r="P101" s="418"/>
    </row>
    <row r="102" spans="1:16" s="419" customFormat="1" x14ac:dyDescent="0.3">
      <c r="A102" s="427">
        <f t="shared" si="0"/>
        <v>12</v>
      </c>
      <c r="B102" s="428" t="s">
        <v>181</v>
      </c>
      <c r="C102" s="428"/>
      <c r="D102" s="428"/>
      <c r="E102" s="428"/>
      <c r="F102" s="428"/>
      <c r="G102" s="428"/>
      <c r="H102" s="428"/>
      <c r="I102" s="428"/>
      <c r="J102" s="428"/>
      <c r="K102" s="428"/>
      <c r="L102" s="428"/>
      <c r="M102" s="428"/>
      <c r="N102" s="470">
        <v>0</v>
      </c>
      <c r="O102" s="430"/>
      <c r="P102" s="418"/>
    </row>
    <row r="103" spans="1:16" s="419" customFormat="1" x14ac:dyDescent="0.3">
      <c r="A103" s="427">
        <f t="shared" si="0"/>
        <v>13</v>
      </c>
      <c r="B103" s="428" t="s">
        <v>139</v>
      </c>
      <c r="C103" s="428"/>
      <c r="D103" s="428"/>
      <c r="E103" s="428"/>
      <c r="F103" s="428"/>
      <c r="G103" s="428"/>
      <c r="H103" s="428"/>
      <c r="I103" s="428"/>
      <c r="J103" s="428"/>
      <c r="K103" s="428"/>
      <c r="L103" s="428"/>
      <c r="M103" s="428"/>
      <c r="N103" s="470">
        <v>-5</v>
      </c>
      <c r="O103" s="430"/>
      <c r="P103" s="418"/>
    </row>
    <row r="104" spans="1:16" s="419" customFormat="1" x14ac:dyDescent="0.3">
      <c r="A104" s="427">
        <f t="shared" si="0"/>
        <v>14</v>
      </c>
      <c r="B104" s="428" t="s">
        <v>122</v>
      </c>
      <c r="C104" s="428"/>
      <c r="D104" s="428"/>
      <c r="E104" s="428"/>
      <c r="F104" s="428"/>
      <c r="G104" s="428"/>
      <c r="H104" s="428"/>
      <c r="I104" s="428"/>
      <c r="J104" s="428"/>
      <c r="K104" s="428"/>
      <c r="L104" s="428"/>
      <c r="M104" s="428"/>
      <c r="N104" s="470">
        <f>-N87-SUM(N89:N103)</f>
        <v>-69</v>
      </c>
      <c r="O104" s="430"/>
      <c r="P104" s="418"/>
    </row>
    <row r="105" spans="1:16" x14ac:dyDescent="0.3">
      <c r="A105" s="442"/>
      <c r="B105" s="577" t="s">
        <v>35</v>
      </c>
      <c r="C105" s="443"/>
      <c r="D105" s="443"/>
      <c r="E105" s="443"/>
      <c r="F105" s="443"/>
      <c r="G105" s="443"/>
      <c r="H105" s="443"/>
      <c r="I105" s="443"/>
      <c r="J105" s="443"/>
      <c r="K105" s="443"/>
      <c r="L105" s="443"/>
      <c r="M105" s="443"/>
      <c r="N105" s="483"/>
      <c r="O105" s="445"/>
      <c r="P105" s="402"/>
    </row>
    <row r="106" spans="1:16" s="419" customFormat="1" x14ac:dyDescent="0.3">
      <c r="A106" s="427"/>
      <c r="B106" s="428" t="s">
        <v>160</v>
      </c>
      <c r="C106" s="428"/>
      <c r="D106" s="428"/>
      <c r="E106" s="428"/>
      <c r="F106" s="428"/>
      <c r="G106" s="428"/>
      <c r="H106" s="428"/>
      <c r="I106" s="428"/>
      <c r="J106" s="428"/>
      <c r="K106" s="428"/>
      <c r="L106" s="469">
        <v>0</v>
      </c>
      <c r="M106" s="469"/>
      <c r="N106" s="470"/>
      <c r="O106" s="430"/>
      <c r="P106" s="418"/>
    </row>
    <row r="107" spans="1:16" s="419" customFormat="1" x14ac:dyDescent="0.3">
      <c r="A107" s="427"/>
      <c r="B107" s="428" t="s">
        <v>161</v>
      </c>
      <c r="C107" s="428"/>
      <c r="D107" s="428"/>
      <c r="E107" s="428"/>
      <c r="F107" s="428"/>
      <c r="G107" s="428"/>
      <c r="H107" s="428"/>
      <c r="I107" s="428"/>
      <c r="J107" s="428"/>
      <c r="K107" s="428"/>
      <c r="L107" s="469">
        <v>0</v>
      </c>
      <c r="M107" s="469"/>
      <c r="N107" s="470"/>
      <c r="O107" s="430"/>
      <c r="P107" s="418"/>
    </row>
    <row r="108" spans="1:16" s="419" customFormat="1" x14ac:dyDescent="0.3">
      <c r="A108" s="427"/>
      <c r="B108" s="428" t="s">
        <v>200</v>
      </c>
      <c r="C108" s="428"/>
      <c r="D108" s="428"/>
      <c r="E108" s="428"/>
      <c r="F108" s="428"/>
      <c r="G108" s="428"/>
      <c r="H108" s="428"/>
      <c r="I108" s="428"/>
      <c r="J108" s="428"/>
      <c r="K108" s="428"/>
      <c r="L108" s="469">
        <v>-774</v>
      </c>
      <c r="M108" s="469"/>
      <c r="N108" s="470"/>
      <c r="O108" s="430"/>
      <c r="P108" s="418"/>
    </row>
    <row r="109" spans="1:16" s="419" customFormat="1" x14ac:dyDescent="0.3">
      <c r="A109" s="427"/>
      <c r="B109" s="428" t="s">
        <v>201</v>
      </c>
      <c r="C109" s="428"/>
      <c r="D109" s="428"/>
      <c r="E109" s="428"/>
      <c r="F109" s="428"/>
      <c r="G109" s="428"/>
      <c r="H109" s="428"/>
      <c r="I109" s="428"/>
      <c r="J109" s="428"/>
      <c r="K109" s="428"/>
      <c r="L109" s="469">
        <v>0</v>
      </c>
      <c r="M109" s="469"/>
      <c r="N109" s="470"/>
      <c r="O109" s="430"/>
      <c r="P109" s="418"/>
    </row>
    <row r="110" spans="1:16" s="419" customFormat="1" x14ac:dyDescent="0.3">
      <c r="A110" s="427"/>
      <c r="B110" s="428" t="s">
        <v>202</v>
      </c>
      <c r="C110" s="428"/>
      <c r="D110" s="428"/>
      <c r="E110" s="428"/>
      <c r="F110" s="428"/>
      <c r="G110" s="428"/>
      <c r="H110" s="428"/>
      <c r="I110" s="428"/>
      <c r="J110" s="428"/>
      <c r="K110" s="428"/>
      <c r="L110" s="469">
        <v>0</v>
      </c>
      <c r="M110" s="469"/>
      <c r="N110" s="470"/>
      <c r="O110" s="430"/>
      <c r="P110" s="418"/>
    </row>
    <row r="111" spans="1:16" s="419" customFormat="1" x14ac:dyDescent="0.3">
      <c r="A111" s="427"/>
      <c r="B111" s="428" t="s">
        <v>36</v>
      </c>
      <c r="C111" s="428"/>
      <c r="D111" s="428"/>
      <c r="E111" s="428"/>
      <c r="F111" s="428"/>
      <c r="G111" s="428"/>
      <c r="H111" s="428"/>
      <c r="I111" s="428"/>
      <c r="J111" s="428"/>
      <c r="K111" s="428"/>
      <c r="L111" s="469">
        <f>SUM(L106:L110)</f>
        <v>-774</v>
      </c>
      <c r="M111" s="469"/>
      <c r="N111" s="469">
        <f>SUM(N88:N109)</f>
        <v>-156</v>
      </c>
      <c r="O111" s="430"/>
      <c r="P111" s="418"/>
    </row>
    <row r="112" spans="1:16" s="419" customFormat="1" x14ac:dyDescent="0.3">
      <c r="A112" s="427"/>
      <c r="B112" s="428" t="s">
        <v>37</v>
      </c>
      <c r="C112" s="428"/>
      <c r="D112" s="428"/>
      <c r="E112" s="428"/>
      <c r="F112" s="428"/>
      <c r="G112" s="428"/>
      <c r="H112" s="428"/>
      <c r="I112" s="428"/>
      <c r="J112" s="428"/>
      <c r="K112" s="428"/>
      <c r="L112" s="469">
        <f>L87+L111+L98</f>
        <v>0</v>
      </c>
      <c r="M112" s="469"/>
      <c r="N112" s="469">
        <f>N87+N111</f>
        <v>0</v>
      </c>
      <c r="O112" s="430"/>
      <c r="P112" s="418"/>
    </row>
    <row r="113" spans="1:17" s="419" customFormat="1" x14ac:dyDescent="0.3">
      <c r="A113" s="415"/>
      <c r="B113" s="458"/>
      <c r="C113" s="458"/>
      <c r="D113" s="458"/>
      <c r="E113" s="458"/>
      <c r="F113" s="458"/>
      <c r="G113" s="458"/>
      <c r="H113" s="458"/>
      <c r="I113" s="458"/>
      <c r="J113" s="458"/>
      <c r="K113" s="458"/>
      <c r="L113" s="484"/>
      <c r="M113" s="484"/>
      <c r="N113" s="484"/>
      <c r="O113" s="458"/>
      <c r="P113" s="418"/>
    </row>
    <row r="114" spans="1:17" s="419" customFormat="1" x14ac:dyDescent="0.3">
      <c r="A114" s="415"/>
      <c r="B114" s="416"/>
      <c r="C114" s="416"/>
      <c r="D114" s="416"/>
      <c r="E114" s="416"/>
      <c r="F114" s="416"/>
      <c r="G114" s="416"/>
      <c r="H114" s="416"/>
      <c r="I114" s="416"/>
      <c r="J114" s="416"/>
      <c r="K114" s="416"/>
      <c r="L114" s="416"/>
      <c r="M114" s="416"/>
      <c r="N114" s="485"/>
      <c r="O114" s="416"/>
      <c r="P114" s="418"/>
    </row>
    <row r="115" spans="1:17" s="419" customFormat="1" ht="18.600000000000001" thickBot="1" x14ac:dyDescent="0.4">
      <c r="A115" s="463"/>
      <c r="B115" s="464" t="str">
        <f>B52</f>
        <v>FF7 INVESTOR REPORT QUARTER ENDING MAY 2018</v>
      </c>
      <c r="C115" s="465"/>
      <c r="D115" s="465"/>
      <c r="E115" s="465"/>
      <c r="F115" s="465"/>
      <c r="G115" s="465"/>
      <c r="H115" s="465"/>
      <c r="I115" s="465"/>
      <c r="J115" s="465"/>
      <c r="K115" s="465"/>
      <c r="L115" s="465"/>
      <c r="M115" s="465"/>
      <c r="N115" s="486"/>
      <c r="O115" s="467"/>
      <c r="P115" s="418"/>
    </row>
    <row r="116" spans="1:17" x14ac:dyDescent="0.3">
      <c r="A116" s="603"/>
      <c r="B116" s="604" t="s">
        <v>38</v>
      </c>
      <c r="C116" s="605"/>
      <c r="D116" s="605"/>
      <c r="E116" s="605"/>
      <c r="F116" s="605"/>
      <c r="G116" s="605"/>
      <c r="H116" s="605"/>
      <c r="I116" s="605"/>
      <c r="J116" s="605"/>
      <c r="K116" s="605"/>
      <c r="L116" s="605"/>
      <c r="M116" s="605"/>
      <c r="N116" s="606"/>
      <c r="O116" s="605"/>
      <c r="P116" s="402"/>
    </row>
    <row r="117" spans="1:17" x14ac:dyDescent="0.3">
      <c r="A117" s="404"/>
      <c r="B117" s="487"/>
      <c r="C117" s="406"/>
      <c r="D117" s="406"/>
      <c r="E117" s="406"/>
      <c r="F117" s="406"/>
      <c r="G117" s="406"/>
      <c r="H117" s="406"/>
      <c r="I117" s="406"/>
      <c r="J117" s="406"/>
      <c r="K117" s="406"/>
      <c r="L117" s="406"/>
      <c r="M117" s="406"/>
      <c r="N117" s="468"/>
      <c r="O117" s="406"/>
      <c r="P117" s="402"/>
    </row>
    <row r="118" spans="1:17" x14ac:dyDescent="0.3">
      <c r="A118" s="404"/>
      <c r="B118" s="578" t="s">
        <v>39</v>
      </c>
      <c r="C118" s="406"/>
      <c r="D118" s="406"/>
      <c r="E118" s="406"/>
      <c r="F118" s="406"/>
      <c r="G118" s="406"/>
      <c r="H118" s="406"/>
      <c r="I118" s="406"/>
      <c r="J118" s="406"/>
      <c r="K118" s="406"/>
      <c r="L118" s="406"/>
      <c r="M118" s="406"/>
      <c r="N118" s="468"/>
      <c r="O118" s="406"/>
      <c r="P118" s="402"/>
    </row>
    <row r="119" spans="1:17" s="419" customFormat="1" x14ac:dyDescent="0.3">
      <c r="A119" s="427"/>
      <c r="B119" s="428" t="s">
        <v>40</v>
      </c>
      <c r="C119" s="428"/>
      <c r="D119" s="428"/>
      <c r="E119" s="428"/>
      <c r="F119" s="428"/>
      <c r="G119" s="428"/>
      <c r="H119" s="428"/>
      <c r="I119" s="428"/>
      <c r="J119" s="428"/>
      <c r="K119" s="428"/>
      <c r="L119" s="428"/>
      <c r="M119" s="428"/>
      <c r="N119" s="470">
        <f>N28*0.003</f>
        <v>805.80000000000007</v>
      </c>
      <c r="O119" s="430"/>
      <c r="P119" s="418"/>
    </row>
    <row r="120" spans="1:17" s="419" customFormat="1" x14ac:dyDescent="0.3">
      <c r="A120" s="427"/>
      <c r="B120" s="428" t="s">
        <v>41</v>
      </c>
      <c r="C120" s="428"/>
      <c r="D120" s="428"/>
      <c r="E120" s="428"/>
      <c r="F120" s="428"/>
      <c r="G120" s="428"/>
      <c r="H120" s="428"/>
      <c r="I120" s="428"/>
      <c r="J120" s="428"/>
      <c r="K120" s="428"/>
      <c r="L120" s="428"/>
      <c r="M120" s="428"/>
      <c r="N120" s="470">
        <v>806</v>
      </c>
      <c r="O120" s="430"/>
      <c r="P120" s="418"/>
    </row>
    <row r="121" spans="1:17" s="419" customFormat="1" x14ac:dyDescent="0.3">
      <c r="A121" s="427"/>
      <c r="B121" s="428" t="s">
        <v>132</v>
      </c>
      <c r="C121" s="428"/>
      <c r="D121" s="428"/>
      <c r="E121" s="428"/>
      <c r="F121" s="428"/>
      <c r="G121" s="428"/>
      <c r="H121" s="428"/>
      <c r="I121" s="428"/>
      <c r="J121" s="428"/>
      <c r="K121" s="428"/>
      <c r="L121" s="428"/>
      <c r="M121" s="428"/>
      <c r="N121" s="470">
        <v>0</v>
      </c>
      <c r="O121" s="430"/>
      <c r="P121" s="418"/>
    </row>
    <row r="122" spans="1:17" s="419" customFormat="1" x14ac:dyDescent="0.3">
      <c r="A122" s="427"/>
      <c r="B122" s="428" t="s">
        <v>221</v>
      </c>
      <c r="C122" s="428"/>
      <c r="D122" s="428"/>
      <c r="E122" s="428"/>
      <c r="F122" s="428"/>
      <c r="G122" s="428"/>
      <c r="H122" s="428"/>
      <c r="I122" s="428"/>
      <c r="J122" s="428"/>
      <c r="K122" s="428"/>
      <c r="L122" s="428"/>
      <c r="M122" s="428"/>
      <c r="N122" s="470">
        <v>0</v>
      </c>
      <c r="O122" s="430"/>
      <c r="P122" s="418"/>
    </row>
    <row r="123" spans="1:17" s="419" customFormat="1" x14ac:dyDescent="0.3">
      <c r="A123" s="427"/>
      <c r="B123" s="428" t="s">
        <v>222</v>
      </c>
      <c r="C123" s="428"/>
      <c r="D123" s="428"/>
      <c r="E123" s="428"/>
      <c r="F123" s="428"/>
      <c r="G123" s="428"/>
      <c r="H123" s="428"/>
      <c r="I123" s="428"/>
      <c r="J123" s="428"/>
      <c r="K123" s="428"/>
      <c r="L123" s="428"/>
      <c r="M123" s="428"/>
      <c r="N123" s="470">
        <v>0</v>
      </c>
      <c r="O123" s="430"/>
      <c r="P123" s="418"/>
    </row>
    <row r="124" spans="1:17" s="419" customFormat="1" x14ac:dyDescent="0.3">
      <c r="A124" s="427"/>
      <c r="B124" s="428" t="s">
        <v>223</v>
      </c>
      <c r="C124" s="428"/>
      <c r="D124" s="428"/>
      <c r="E124" s="428"/>
      <c r="F124" s="428"/>
      <c r="G124" s="428"/>
      <c r="H124" s="428"/>
      <c r="I124" s="428"/>
      <c r="J124" s="428"/>
      <c r="K124" s="428"/>
      <c r="L124" s="428"/>
      <c r="M124" s="428"/>
      <c r="N124" s="470">
        <v>0</v>
      </c>
      <c r="O124" s="430"/>
      <c r="P124" s="418"/>
    </row>
    <row r="125" spans="1:17" s="419" customFormat="1" x14ac:dyDescent="0.3">
      <c r="A125" s="427"/>
      <c r="B125" s="428" t="s">
        <v>42</v>
      </c>
      <c r="C125" s="428"/>
      <c r="D125" s="428"/>
      <c r="E125" s="428"/>
      <c r="F125" s="428"/>
      <c r="G125" s="428"/>
      <c r="H125" s="428"/>
      <c r="I125" s="428"/>
      <c r="J125" s="428"/>
      <c r="K125" s="428"/>
      <c r="L125" s="428"/>
      <c r="M125" s="428"/>
      <c r="N125" s="470">
        <v>0</v>
      </c>
      <c r="O125" s="430"/>
      <c r="P125" s="418"/>
    </row>
    <row r="126" spans="1:17" s="419" customFormat="1" x14ac:dyDescent="0.3">
      <c r="A126" s="427"/>
      <c r="B126" s="428" t="s">
        <v>125</v>
      </c>
      <c r="C126" s="428"/>
      <c r="D126" s="428"/>
      <c r="E126" s="428"/>
      <c r="F126" s="428"/>
      <c r="G126" s="428"/>
      <c r="H126" s="428"/>
      <c r="I126" s="428"/>
      <c r="J126" s="428"/>
      <c r="K126" s="428"/>
      <c r="L126" s="428"/>
      <c r="M126" s="428"/>
      <c r="N126" s="470">
        <v>0</v>
      </c>
      <c r="O126" s="430"/>
      <c r="P126" s="418"/>
    </row>
    <row r="127" spans="1:17" s="419" customFormat="1" x14ac:dyDescent="0.3">
      <c r="A127" s="427"/>
      <c r="B127" s="428" t="s">
        <v>225</v>
      </c>
      <c r="C127" s="428"/>
      <c r="D127" s="428"/>
      <c r="E127" s="428"/>
      <c r="F127" s="428"/>
      <c r="G127" s="428"/>
      <c r="H127" s="428"/>
      <c r="I127" s="428"/>
      <c r="J127" s="428"/>
      <c r="K127" s="428"/>
      <c r="L127" s="428"/>
      <c r="M127" s="428"/>
      <c r="N127" s="470">
        <v>0</v>
      </c>
      <c r="O127" s="430"/>
      <c r="P127" s="418"/>
      <c r="Q127" s="482"/>
    </row>
    <row r="128" spans="1:17" s="419" customFormat="1" x14ac:dyDescent="0.3">
      <c r="A128" s="427"/>
      <c r="B128" s="428" t="s">
        <v>43</v>
      </c>
      <c r="C128" s="428"/>
      <c r="D128" s="428"/>
      <c r="E128" s="428"/>
      <c r="F128" s="428"/>
      <c r="G128" s="428"/>
      <c r="H128" s="428"/>
      <c r="I128" s="428"/>
      <c r="J128" s="428"/>
      <c r="K128" s="428"/>
      <c r="L128" s="428"/>
      <c r="M128" s="428"/>
      <c r="N128" s="470">
        <f>SUM(N120:N127)</f>
        <v>806</v>
      </c>
      <c r="O128" s="430"/>
      <c r="P128" s="418"/>
    </row>
    <row r="129" spans="1:16" x14ac:dyDescent="0.3">
      <c r="A129" s="442"/>
      <c r="B129" s="443"/>
      <c r="C129" s="443"/>
      <c r="D129" s="443"/>
      <c r="E129" s="443"/>
      <c r="F129" s="443"/>
      <c r="G129" s="443"/>
      <c r="H129" s="443"/>
      <c r="I129" s="443"/>
      <c r="J129" s="443"/>
      <c r="K129" s="443"/>
      <c r="L129" s="443"/>
      <c r="M129" s="443"/>
      <c r="N129" s="481"/>
      <c r="O129" s="445"/>
      <c r="P129" s="402"/>
    </row>
    <row r="130" spans="1:16" x14ac:dyDescent="0.3">
      <c r="A130" s="442"/>
      <c r="B130" s="577" t="s">
        <v>179</v>
      </c>
      <c r="C130" s="443"/>
      <c r="D130" s="443"/>
      <c r="E130" s="443"/>
      <c r="F130" s="443"/>
      <c r="G130" s="443"/>
      <c r="H130" s="443"/>
      <c r="I130" s="443"/>
      <c r="J130" s="443"/>
      <c r="K130" s="443"/>
      <c r="L130" s="443"/>
      <c r="M130" s="443"/>
      <c r="N130" s="481"/>
      <c r="O130" s="445"/>
      <c r="P130" s="402"/>
    </row>
    <row r="131" spans="1:16" s="419" customFormat="1" x14ac:dyDescent="0.3">
      <c r="A131" s="427"/>
      <c r="B131" s="428" t="s">
        <v>144</v>
      </c>
      <c r="C131" s="428"/>
      <c r="D131" s="428"/>
      <c r="E131" s="428"/>
      <c r="F131" s="428"/>
      <c r="G131" s="428"/>
      <c r="H131" s="428"/>
      <c r="I131" s="428"/>
      <c r="J131" s="428"/>
      <c r="K131" s="428"/>
      <c r="L131" s="428"/>
      <c r="M131" s="428"/>
      <c r="N131" s="470">
        <v>7098</v>
      </c>
      <c r="O131" s="430"/>
      <c r="P131" s="418"/>
    </row>
    <row r="132" spans="1:16" s="419" customFormat="1" x14ac:dyDescent="0.3">
      <c r="A132" s="427"/>
      <c r="B132" s="428" t="s">
        <v>159</v>
      </c>
      <c r="C132" s="428"/>
      <c r="D132" s="428"/>
      <c r="E132" s="428"/>
      <c r="F132" s="428"/>
      <c r="G132" s="428"/>
      <c r="H132" s="428"/>
      <c r="I132" s="428"/>
      <c r="J132" s="428"/>
      <c r="K132" s="428"/>
      <c r="L132" s="428"/>
      <c r="M132" s="428"/>
      <c r="N132" s="470">
        <v>0</v>
      </c>
      <c r="O132" s="430"/>
      <c r="P132" s="418"/>
    </row>
    <row r="133" spans="1:16" s="419" customFormat="1" x14ac:dyDescent="0.3">
      <c r="A133" s="427"/>
      <c r="B133" s="428" t="s">
        <v>278</v>
      </c>
      <c r="C133" s="428"/>
      <c r="D133" s="428"/>
      <c r="E133" s="428"/>
      <c r="F133" s="428"/>
      <c r="G133" s="428"/>
      <c r="H133" s="428"/>
      <c r="I133" s="428"/>
      <c r="J133" s="428"/>
      <c r="K133" s="428"/>
      <c r="L133" s="428"/>
      <c r="M133" s="428"/>
      <c r="N133" s="470">
        <v>0</v>
      </c>
      <c r="O133" s="430"/>
      <c r="P133" s="418"/>
    </row>
    <row r="134" spans="1:16" x14ac:dyDescent="0.3">
      <c r="A134" s="442"/>
      <c r="B134" s="443"/>
      <c r="C134" s="443"/>
      <c r="D134" s="443"/>
      <c r="E134" s="443"/>
      <c r="F134" s="443"/>
      <c r="G134" s="443"/>
      <c r="H134" s="443"/>
      <c r="I134" s="443"/>
      <c r="J134" s="443"/>
      <c r="K134" s="443"/>
      <c r="L134" s="443"/>
      <c r="M134" s="443"/>
      <c r="N134" s="481"/>
      <c r="O134" s="445"/>
      <c r="P134" s="402"/>
    </row>
    <row r="135" spans="1:16" x14ac:dyDescent="0.3">
      <c r="A135" s="404"/>
      <c r="B135" s="471"/>
      <c r="C135" s="471"/>
      <c r="D135" s="471"/>
      <c r="E135" s="471"/>
      <c r="F135" s="471"/>
      <c r="G135" s="471"/>
      <c r="H135" s="471"/>
      <c r="I135" s="471"/>
      <c r="J135" s="471"/>
      <c r="K135" s="471"/>
      <c r="L135" s="471"/>
      <c r="M135" s="471"/>
      <c r="N135" s="488"/>
      <c r="O135" s="471"/>
      <c r="P135" s="402"/>
    </row>
    <row r="136" spans="1:16" x14ac:dyDescent="0.3">
      <c r="A136" s="404"/>
      <c r="B136" s="578" t="s">
        <v>22</v>
      </c>
      <c r="C136" s="406"/>
      <c r="D136" s="406"/>
      <c r="E136" s="406"/>
      <c r="F136" s="406"/>
      <c r="G136" s="406"/>
      <c r="H136" s="406"/>
      <c r="I136" s="406"/>
      <c r="J136" s="406"/>
      <c r="K136" s="406"/>
      <c r="L136" s="406"/>
      <c r="M136" s="406"/>
      <c r="N136" s="468"/>
      <c r="O136" s="406"/>
      <c r="P136" s="402"/>
    </row>
    <row r="137" spans="1:16" s="419" customFormat="1" x14ac:dyDescent="0.3">
      <c r="A137" s="427"/>
      <c r="B137" s="428" t="s">
        <v>44</v>
      </c>
      <c r="C137" s="428"/>
      <c r="D137" s="428"/>
      <c r="E137" s="428"/>
      <c r="F137" s="428"/>
      <c r="G137" s="428"/>
      <c r="H137" s="428"/>
      <c r="I137" s="428"/>
      <c r="J137" s="428"/>
      <c r="K137" s="428"/>
      <c r="L137" s="428"/>
      <c r="M137" s="428"/>
      <c r="N137" s="489" t="s">
        <v>117</v>
      </c>
      <c r="O137" s="430"/>
      <c r="P137" s="418"/>
    </row>
    <row r="138" spans="1:16" s="419" customFormat="1" x14ac:dyDescent="0.3">
      <c r="A138" s="427"/>
      <c r="B138" s="428" t="s">
        <v>45</v>
      </c>
      <c r="C138" s="428"/>
      <c r="D138" s="428"/>
      <c r="E138" s="428"/>
      <c r="F138" s="428"/>
      <c r="G138" s="428"/>
      <c r="H138" s="428"/>
      <c r="I138" s="428"/>
      <c r="J138" s="428"/>
      <c r="K138" s="428"/>
      <c r="L138" s="428"/>
      <c r="M138" s="428"/>
      <c r="N138" s="489" t="s">
        <v>117</v>
      </c>
      <c r="O138" s="430"/>
      <c r="P138" s="418"/>
    </row>
    <row r="139" spans="1:16" s="419" customFormat="1" x14ac:dyDescent="0.3">
      <c r="A139" s="427"/>
      <c r="B139" s="428" t="s">
        <v>46</v>
      </c>
      <c r="C139" s="428"/>
      <c r="D139" s="428"/>
      <c r="E139" s="428"/>
      <c r="F139" s="428"/>
      <c r="G139" s="428"/>
      <c r="H139" s="428"/>
      <c r="I139" s="428"/>
      <c r="J139" s="428"/>
      <c r="K139" s="428"/>
      <c r="L139" s="428"/>
      <c r="M139" s="428"/>
      <c r="N139" s="489" t="s">
        <v>117</v>
      </c>
      <c r="O139" s="430"/>
      <c r="P139" s="418"/>
    </row>
    <row r="140" spans="1:16" s="419" customFormat="1" x14ac:dyDescent="0.3">
      <c r="A140" s="427"/>
      <c r="B140" s="428" t="s">
        <v>47</v>
      </c>
      <c r="C140" s="428"/>
      <c r="D140" s="428"/>
      <c r="E140" s="428"/>
      <c r="F140" s="428"/>
      <c r="G140" s="428"/>
      <c r="H140" s="428"/>
      <c r="I140" s="428"/>
      <c r="J140" s="428"/>
      <c r="K140" s="428"/>
      <c r="L140" s="428"/>
      <c r="M140" s="428"/>
      <c r="N140" s="489" t="s">
        <v>117</v>
      </c>
      <c r="O140" s="430"/>
      <c r="P140" s="418"/>
    </row>
    <row r="141" spans="1:16" x14ac:dyDescent="0.3">
      <c r="A141" s="404"/>
      <c r="B141" s="471"/>
      <c r="C141" s="471"/>
      <c r="D141" s="471"/>
      <c r="E141" s="471"/>
      <c r="F141" s="471"/>
      <c r="G141" s="471"/>
      <c r="H141" s="471"/>
      <c r="I141" s="471"/>
      <c r="J141" s="471"/>
      <c r="K141" s="471"/>
      <c r="L141" s="471"/>
      <c r="M141" s="471"/>
      <c r="N141" s="488"/>
      <c r="O141" s="471"/>
      <c r="P141" s="402"/>
    </row>
    <row r="142" spans="1:16" x14ac:dyDescent="0.3">
      <c r="A142" s="404"/>
      <c r="B142" s="578" t="s">
        <v>48</v>
      </c>
      <c r="C142" s="406"/>
      <c r="D142" s="406"/>
      <c r="E142" s="406"/>
      <c r="F142" s="406"/>
      <c r="G142" s="406"/>
      <c r="H142" s="406"/>
      <c r="I142" s="406"/>
      <c r="J142" s="406"/>
      <c r="K142" s="406"/>
      <c r="L142" s="406"/>
      <c r="M142" s="406"/>
      <c r="N142" s="490"/>
      <c r="O142" s="406"/>
      <c r="P142" s="402"/>
    </row>
    <row r="143" spans="1:16" s="419" customFormat="1" x14ac:dyDescent="0.3">
      <c r="A143" s="427"/>
      <c r="B143" s="428" t="s">
        <v>49</v>
      </c>
      <c r="C143" s="428"/>
      <c r="D143" s="428"/>
      <c r="E143" s="428"/>
      <c r="F143" s="428"/>
      <c r="G143" s="428"/>
      <c r="H143" s="428"/>
      <c r="I143" s="428"/>
      <c r="J143" s="428"/>
      <c r="K143" s="428"/>
      <c r="L143" s="428"/>
      <c r="M143" s="428"/>
      <c r="N143" s="470">
        <v>0</v>
      </c>
      <c r="O143" s="430"/>
      <c r="P143" s="418"/>
    </row>
    <row r="144" spans="1:16" s="419" customFormat="1" x14ac:dyDescent="0.3">
      <c r="A144" s="427"/>
      <c r="B144" s="428" t="s">
        <v>50</v>
      </c>
      <c r="C144" s="428"/>
      <c r="D144" s="428"/>
      <c r="E144" s="428"/>
      <c r="F144" s="428"/>
      <c r="G144" s="428"/>
      <c r="H144" s="428"/>
      <c r="I144" s="428"/>
      <c r="J144" s="428"/>
      <c r="K144" s="428"/>
      <c r="L144" s="428"/>
      <c r="M144" s="428"/>
      <c r="N144" s="470">
        <v>0</v>
      </c>
      <c r="O144" s="430"/>
      <c r="P144" s="418"/>
    </row>
    <row r="145" spans="1:256" s="419" customFormat="1" x14ac:dyDescent="0.3">
      <c r="A145" s="427"/>
      <c r="B145" s="428" t="s">
        <v>51</v>
      </c>
      <c r="C145" s="428"/>
      <c r="D145" s="428"/>
      <c r="E145" s="428"/>
      <c r="F145" s="428"/>
      <c r="G145" s="428"/>
      <c r="H145" s="428"/>
      <c r="I145" s="428"/>
      <c r="J145" s="428"/>
      <c r="K145" s="428"/>
      <c r="L145" s="428"/>
      <c r="M145" s="428"/>
      <c r="N145" s="470">
        <f>+N143+N144</f>
        <v>0</v>
      </c>
      <c r="O145" s="430"/>
      <c r="P145" s="418"/>
    </row>
    <row r="146" spans="1:256" s="419" customFormat="1" x14ac:dyDescent="0.3">
      <c r="A146" s="427"/>
      <c r="B146" s="428" t="s">
        <v>264</v>
      </c>
      <c r="C146" s="428"/>
      <c r="D146" s="428"/>
      <c r="E146" s="428"/>
      <c r="F146" s="428"/>
      <c r="G146" s="428"/>
      <c r="H146" s="428"/>
      <c r="I146" s="428"/>
      <c r="J146" s="428"/>
      <c r="K146" s="428"/>
      <c r="L146" s="428"/>
      <c r="M146" s="428"/>
      <c r="N146" s="470">
        <f>N98</f>
        <v>0</v>
      </c>
      <c r="O146" s="430"/>
      <c r="P146" s="418"/>
    </row>
    <row r="147" spans="1:256" s="419" customFormat="1" x14ac:dyDescent="0.3">
      <c r="A147" s="427"/>
      <c r="B147" s="428" t="s">
        <v>52</v>
      </c>
      <c r="C147" s="428"/>
      <c r="D147" s="428"/>
      <c r="E147" s="428"/>
      <c r="F147" s="428"/>
      <c r="G147" s="428"/>
      <c r="H147" s="428"/>
      <c r="I147" s="428"/>
      <c r="J147" s="428"/>
      <c r="K147" s="428"/>
      <c r="L147" s="428"/>
      <c r="M147" s="428"/>
      <c r="N147" s="470">
        <f>N145+N146</f>
        <v>0</v>
      </c>
      <c r="O147" s="430"/>
      <c r="P147" s="418"/>
    </row>
    <row r="148" spans="1:256" ht="16.2" thickBot="1" x14ac:dyDescent="0.35">
      <c r="A148" s="404"/>
      <c r="B148" s="471"/>
      <c r="C148" s="471"/>
      <c r="D148" s="471"/>
      <c r="E148" s="471"/>
      <c r="F148" s="471"/>
      <c r="G148" s="471"/>
      <c r="H148" s="471"/>
      <c r="I148" s="471"/>
      <c r="J148" s="471"/>
      <c r="K148" s="471"/>
      <c r="L148" s="471"/>
      <c r="M148" s="471"/>
      <c r="N148" s="488"/>
      <c r="O148" s="471"/>
      <c r="P148" s="402"/>
    </row>
    <row r="149" spans="1:256" x14ac:dyDescent="0.3">
      <c r="A149" s="399"/>
      <c r="B149" s="401"/>
      <c r="C149" s="401"/>
      <c r="D149" s="401"/>
      <c r="E149" s="401"/>
      <c r="F149" s="401"/>
      <c r="G149" s="401"/>
      <c r="H149" s="401"/>
      <c r="I149" s="401"/>
      <c r="J149" s="401"/>
      <c r="K149" s="401"/>
      <c r="L149" s="401"/>
      <c r="M149" s="401"/>
      <c r="N149" s="491"/>
      <c r="O149" s="401"/>
      <c r="P149" s="402"/>
    </row>
    <row r="150" spans="1:256" x14ac:dyDescent="0.3">
      <c r="A150" s="404"/>
      <c r="B150" s="578" t="s">
        <v>53</v>
      </c>
      <c r="C150" s="406"/>
      <c r="D150" s="406"/>
      <c r="E150" s="406"/>
      <c r="F150" s="406"/>
      <c r="G150" s="406"/>
      <c r="H150" s="406"/>
      <c r="I150" s="406"/>
      <c r="J150" s="406"/>
      <c r="K150" s="406"/>
      <c r="L150" s="406"/>
      <c r="M150" s="406"/>
      <c r="N150" s="468"/>
      <c r="O150" s="406"/>
      <c r="P150" s="402"/>
    </row>
    <row r="151" spans="1:256" x14ac:dyDescent="0.3">
      <c r="A151" s="404"/>
      <c r="B151" s="487"/>
      <c r="C151" s="406"/>
      <c r="D151" s="406"/>
      <c r="E151" s="406"/>
      <c r="F151" s="406"/>
      <c r="G151" s="406"/>
      <c r="H151" s="406"/>
      <c r="I151" s="406"/>
      <c r="J151" s="406"/>
      <c r="K151" s="406"/>
      <c r="L151" s="406"/>
      <c r="M151" s="406"/>
      <c r="N151" s="468"/>
      <c r="O151" s="406"/>
      <c r="P151" s="402"/>
    </row>
    <row r="152" spans="1:256" s="419" customFormat="1" x14ac:dyDescent="0.3">
      <c r="A152" s="427"/>
      <c r="B152" s="428" t="s">
        <v>234</v>
      </c>
      <c r="C152" s="428"/>
      <c r="D152" s="428"/>
      <c r="E152" s="428"/>
      <c r="F152" s="428"/>
      <c r="G152" s="428"/>
      <c r="H152" s="428"/>
      <c r="I152" s="428"/>
      <c r="J152" s="428"/>
      <c r="K152" s="428"/>
      <c r="L152" s="428"/>
      <c r="M152" s="428"/>
      <c r="N152" s="470">
        <f>N56</f>
        <v>13011</v>
      </c>
      <c r="O152" s="430"/>
      <c r="P152" s="418"/>
      <c r="Q152" s="482"/>
    </row>
    <row r="153" spans="1:256" s="419" customFormat="1" x14ac:dyDescent="0.3">
      <c r="A153" s="427"/>
      <c r="B153" s="428" t="s">
        <v>54</v>
      </c>
      <c r="C153" s="428"/>
      <c r="D153" s="428"/>
      <c r="E153" s="428"/>
      <c r="F153" s="428"/>
      <c r="G153" s="428"/>
      <c r="H153" s="428"/>
      <c r="I153" s="428"/>
      <c r="J153" s="428"/>
      <c r="K153" s="428"/>
      <c r="L153" s="428"/>
      <c r="M153" s="428"/>
      <c r="N153" s="470">
        <f>N72</f>
        <v>13011</v>
      </c>
      <c r="O153" s="430"/>
      <c r="P153" s="418"/>
    </row>
    <row r="154" spans="1:256" ht="16.2" thickBot="1" x14ac:dyDescent="0.35">
      <c r="A154" s="404"/>
      <c r="B154" s="471"/>
      <c r="C154" s="471"/>
      <c r="D154" s="471"/>
      <c r="E154" s="471"/>
      <c r="F154" s="471"/>
      <c r="G154" s="471"/>
      <c r="H154" s="471"/>
      <c r="I154" s="471"/>
      <c r="J154" s="471"/>
      <c r="K154" s="471"/>
      <c r="L154" s="471"/>
      <c r="M154" s="471"/>
      <c r="N154" s="488"/>
      <c r="O154" s="471"/>
      <c r="P154" s="402"/>
    </row>
    <row r="155" spans="1:256" s="492" customFormat="1" x14ac:dyDescent="0.3">
      <c r="A155" s="399"/>
      <c r="B155" s="401"/>
      <c r="C155" s="401"/>
      <c r="D155" s="401"/>
      <c r="E155" s="401"/>
      <c r="F155" s="401"/>
      <c r="G155" s="401"/>
      <c r="H155" s="401"/>
      <c r="I155" s="401"/>
      <c r="J155" s="401"/>
      <c r="K155" s="401"/>
      <c r="L155" s="401"/>
      <c r="M155" s="401"/>
      <c r="N155" s="491"/>
      <c r="O155" s="401"/>
      <c r="P155" s="402"/>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c r="AN155" s="403"/>
      <c r="AO155" s="403"/>
      <c r="AP155" s="403"/>
      <c r="AQ155" s="403"/>
      <c r="AR155" s="403"/>
      <c r="AS155" s="403"/>
      <c r="AT155" s="403"/>
      <c r="AU155" s="403"/>
      <c r="AV155" s="403"/>
      <c r="AW155" s="403"/>
      <c r="AX155" s="403"/>
      <c r="AY155" s="403"/>
      <c r="AZ155" s="403"/>
      <c r="BA155" s="403"/>
      <c r="BB155" s="403"/>
      <c r="BC155" s="403"/>
      <c r="BD155" s="403"/>
      <c r="BE155" s="403"/>
      <c r="BF155" s="403"/>
      <c r="BG155" s="403"/>
      <c r="BH155" s="403"/>
      <c r="BI155" s="403"/>
      <c r="BJ155" s="403"/>
      <c r="BK155" s="403"/>
      <c r="BL155" s="403"/>
      <c r="BM155" s="403"/>
      <c r="BN155" s="403"/>
      <c r="BO155" s="403"/>
      <c r="BP155" s="403"/>
      <c r="BQ155" s="403"/>
      <c r="BR155" s="403"/>
      <c r="BS155" s="403"/>
      <c r="BT155" s="403"/>
      <c r="BU155" s="403"/>
      <c r="BV155" s="403"/>
      <c r="BW155" s="403"/>
      <c r="BX155" s="403"/>
      <c r="BY155" s="403"/>
      <c r="BZ155" s="403"/>
      <c r="CA155" s="403"/>
      <c r="CB155" s="403"/>
      <c r="CC155" s="403"/>
      <c r="CD155" s="403"/>
      <c r="CE155" s="403"/>
      <c r="CF155" s="403"/>
      <c r="CG155" s="403"/>
      <c r="CH155" s="403"/>
      <c r="CI155" s="403"/>
      <c r="CJ155" s="403"/>
      <c r="CK155" s="403"/>
      <c r="CL155" s="403"/>
      <c r="CM155" s="403"/>
      <c r="CN155" s="403"/>
      <c r="CO155" s="403"/>
      <c r="CP155" s="403"/>
      <c r="CQ155" s="403"/>
      <c r="CR155" s="403"/>
      <c r="CS155" s="403"/>
      <c r="CT155" s="403"/>
      <c r="CU155" s="403"/>
      <c r="CV155" s="403"/>
      <c r="CW155" s="403"/>
      <c r="CX155" s="403"/>
      <c r="CY155" s="403"/>
      <c r="CZ155" s="403"/>
      <c r="DA155" s="403"/>
      <c r="DB155" s="403"/>
      <c r="DC155" s="403"/>
      <c r="DD155" s="403"/>
      <c r="DE155" s="403"/>
      <c r="DF155" s="403"/>
      <c r="DG155" s="403"/>
      <c r="DH155" s="403"/>
      <c r="DI155" s="403"/>
      <c r="DJ155" s="403"/>
      <c r="DK155" s="403"/>
      <c r="DL155" s="403"/>
      <c r="DM155" s="403"/>
      <c r="DN155" s="403"/>
      <c r="DO155" s="403"/>
      <c r="DP155" s="403"/>
      <c r="DQ155" s="403"/>
      <c r="DR155" s="403"/>
      <c r="DS155" s="403"/>
      <c r="DT155" s="403"/>
      <c r="DU155" s="403"/>
      <c r="DV155" s="403"/>
      <c r="DW155" s="403"/>
      <c r="DX155" s="403"/>
      <c r="DY155" s="403"/>
      <c r="DZ155" s="403"/>
      <c r="EA155" s="403"/>
      <c r="EB155" s="403"/>
      <c r="EC155" s="403"/>
      <c r="ED155" s="403"/>
      <c r="EE155" s="403"/>
      <c r="EF155" s="403"/>
      <c r="EG155" s="403"/>
      <c r="EH155" s="403"/>
      <c r="EI155" s="403"/>
      <c r="EJ155" s="403"/>
      <c r="EK155" s="403"/>
      <c r="EL155" s="403"/>
      <c r="EM155" s="403"/>
      <c r="EN155" s="403"/>
      <c r="EO155" s="403"/>
      <c r="EP155" s="403"/>
      <c r="EQ155" s="403"/>
      <c r="ER155" s="403"/>
      <c r="ES155" s="403"/>
      <c r="ET155" s="403"/>
      <c r="EU155" s="403"/>
      <c r="EV155" s="403"/>
      <c r="EW155" s="403"/>
      <c r="EX155" s="403"/>
      <c r="EY155" s="403"/>
      <c r="EZ155" s="403"/>
      <c r="FA155" s="403"/>
      <c r="FB155" s="403"/>
      <c r="FC155" s="403"/>
      <c r="FD155" s="403"/>
      <c r="FE155" s="403"/>
      <c r="FF155" s="403"/>
      <c r="FG155" s="403"/>
      <c r="FH155" s="403"/>
      <c r="FI155" s="403"/>
      <c r="FJ155" s="403"/>
      <c r="FK155" s="403"/>
      <c r="FL155" s="403"/>
      <c r="FM155" s="403"/>
      <c r="FN155" s="403"/>
      <c r="FO155" s="403"/>
      <c r="FP155" s="403"/>
      <c r="FQ155" s="403"/>
      <c r="FR155" s="403"/>
      <c r="FS155" s="403"/>
      <c r="FT155" s="403"/>
      <c r="FU155" s="403"/>
      <c r="FV155" s="403"/>
      <c r="FW155" s="403"/>
      <c r="FX155" s="403"/>
      <c r="FY155" s="403"/>
      <c r="FZ155" s="403"/>
      <c r="GA155" s="403"/>
      <c r="GB155" s="403"/>
      <c r="GC155" s="403"/>
      <c r="GD155" s="403"/>
      <c r="GE155" s="403"/>
      <c r="GF155" s="403"/>
      <c r="GG155" s="403"/>
      <c r="GH155" s="403"/>
      <c r="GI155" s="403"/>
      <c r="GJ155" s="403"/>
      <c r="GK155" s="403"/>
      <c r="GL155" s="403"/>
      <c r="GM155" s="403"/>
      <c r="GN155" s="403"/>
      <c r="GO155" s="403"/>
      <c r="GP155" s="403"/>
      <c r="GQ155" s="403"/>
      <c r="GR155" s="403"/>
      <c r="GS155" s="403"/>
      <c r="GT155" s="403"/>
      <c r="GU155" s="403"/>
      <c r="GV155" s="403"/>
      <c r="GW155" s="403"/>
      <c r="GX155" s="403"/>
      <c r="GY155" s="403"/>
      <c r="GZ155" s="403"/>
      <c r="HA155" s="403"/>
      <c r="HB155" s="403"/>
      <c r="HC155" s="403"/>
      <c r="HD155" s="403"/>
      <c r="HE155" s="403"/>
      <c r="HF155" s="403"/>
      <c r="HG155" s="403"/>
      <c r="HH155" s="403"/>
      <c r="HI155" s="403"/>
      <c r="HJ155" s="403"/>
      <c r="HK155" s="403"/>
      <c r="HL155" s="403"/>
      <c r="HM155" s="403"/>
      <c r="HN155" s="403"/>
      <c r="HO155" s="403"/>
      <c r="HP155" s="403"/>
      <c r="HQ155" s="403"/>
      <c r="HR155" s="403"/>
      <c r="HS155" s="403"/>
      <c r="HT155" s="403"/>
      <c r="HU155" s="403"/>
      <c r="HV155" s="403"/>
      <c r="HW155" s="403"/>
      <c r="HX155" s="403"/>
      <c r="HY155" s="403"/>
      <c r="HZ155" s="403"/>
      <c r="IA155" s="403"/>
      <c r="IB155" s="403"/>
      <c r="IC155" s="403"/>
      <c r="ID155" s="403"/>
      <c r="IE155" s="403"/>
      <c r="IF155" s="403"/>
      <c r="IG155" s="403"/>
      <c r="IH155" s="403"/>
      <c r="II155" s="403"/>
      <c r="IJ155" s="403"/>
      <c r="IK155" s="403"/>
      <c r="IL155" s="403"/>
      <c r="IM155" s="403"/>
      <c r="IN155" s="403"/>
      <c r="IO155" s="403"/>
      <c r="IP155" s="403"/>
      <c r="IQ155" s="403"/>
      <c r="IR155" s="403"/>
      <c r="IS155" s="403"/>
      <c r="IT155" s="403"/>
      <c r="IU155" s="403"/>
      <c r="IV155" s="403"/>
    </row>
    <row r="156" spans="1:256" s="493" customFormat="1" x14ac:dyDescent="0.3">
      <c r="A156" s="404"/>
      <c r="B156" s="579" t="s">
        <v>205</v>
      </c>
      <c r="C156" s="471"/>
      <c r="D156" s="471"/>
      <c r="E156" s="471"/>
      <c r="F156" s="471"/>
      <c r="G156" s="471"/>
      <c r="H156" s="471"/>
      <c r="I156" s="471"/>
      <c r="J156" s="471"/>
      <c r="K156" s="471"/>
      <c r="L156" s="471"/>
      <c r="M156" s="471"/>
      <c r="N156" s="488"/>
      <c r="O156" s="471"/>
      <c r="P156" s="402"/>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c r="BM156" s="403"/>
      <c r="BN156" s="403"/>
      <c r="BO156" s="403"/>
      <c r="BP156" s="403"/>
      <c r="BQ156" s="403"/>
      <c r="BR156" s="403"/>
      <c r="BS156" s="403"/>
      <c r="BT156" s="403"/>
      <c r="BU156" s="403"/>
      <c r="BV156" s="403"/>
      <c r="BW156" s="403"/>
      <c r="BX156" s="403"/>
      <c r="BY156" s="403"/>
      <c r="BZ156" s="403"/>
      <c r="CA156" s="403"/>
      <c r="CB156" s="403"/>
      <c r="CC156" s="403"/>
      <c r="CD156" s="403"/>
      <c r="CE156" s="403"/>
      <c r="CF156" s="403"/>
      <c r="CG156" s="403"/>
      <c r="CH156" s="403"/>
      <c r="CI156" s="403"/>
      <c r="CJ156" s="403"/>
      <c r="CK156" s="403"/>
      <c r="CL156" s="403"/>
      <c r="CM156" s="403"/>
      <c r="CN156" s="403"/>
      <c r="CO156" s="403"/>
      <c r="CP156" s="403"/>
      <c r="CQ156" s="403"/>
      <c r="CR156" s="403"/>
      <c r="CS156" s="403"/>
      <c r="CT156" s="403"/>
      <c r="CU156" s="403"/>
      <c r="CV156" s="403"/>
      <c r="CW156" s="403"/>
      <c r="CX156" s="403"/>
      <c r="CY156" s="403"/>
      <c r="CZ156" s="403"/>
      <c r="DA156" s="403"/>
      <c r="DB156" s="403"/>
      <c r="DC156" s="403"/>
      <c r="DD156" s="403"/>
      <c r="DE156" s="403"/>
      <c r="DF156" s="403"/>
      <c r="DG156" s="403"/>
      <c r="DH156" s="403"/>
      <c r="DI156" s="403"/>
      <c r="DJ156" s="403"/>
      <c r="DK156" s="403"/>
      <c r="DL156" s="403"/>
      <c r="DM156" s="403"/>
      <c r="DN156" s="403"/>
      <c r="DO156" s="403"/>
      <c r="DP156" s="403"/>
      <c r="DQ156" s="403"/>
      <c r="DR156" s="403"/>
      <c r="DS156" s="403"/>
      <c r="DT156" s="403"/>
      <c r="DU156" s="403"/>
      <c r="DV156" s="403"/>
      <c r="DW156" s="403"/>
      <c r="DX156" s="403"/>
      <c r="DY156" s="403"/>
      <c r="DZ156" s="403"/>
      <c r="EA156" s="403"/>
      <c r="EB156" s="403"/>
      <c r="EC156" s="403"/>
      <c r="ED156" s="403"/>
      <c r="EE156" s="403"/>
      <c r="EF156" s="403"/>
      <c r="EG156" s="403"/>
      <c r="EH156" s="403"/>
      <c r="EI156" s="403"/>
      <c r="EJ156" s="403"/>
      <c r="EK156" s="403"/>
      <c r="EL156" s="403"/>
      <c r="EM156" s="403"/>
      <c r="EN156" s="403"/>
      <c r="EO156" s="403"/>
      <c r="EP156" s="403"/>
      <c r="EQ156" s="403"/>
      <c r="ER156" s="403"/>
      <c r="ES156" s="403"/>
      <c r="ET156" s="403"/>
      <c r="EU156" s="403"/>
      <c r="EV156" s="403"/>
      <c r="EW156" s="403"/>
      <c r="EX156" s="403"/>
      <c r="EY156" s="403"/>
      <c r="EZ156" s="403"/>
      <c r="FA156" s="403"/>
      <c r="FB156" s="403"/>
      <c r="FC156" s="403"/>
      <c r="FD156" s="403"/>
      <c r="FE156" s="403"/>
      <c r="FF156" s="403"/>
      <c r="FG156" s="403"/>
      <c r="FH156" s="403"/>
      <c r="FI156" s="403"/>
      <c r="FJ156" s="403"/>
      <c r="FK156" s="403"/>
      <c r="FL156" s="403"/>
      <c r="FM156" s="403"/>
      <c r="FN156" s="403"/>
      <c r="FO156" s="403"/>
      <c r="FP156" s="403"/>
      <c r="FQ156" s="403"/>
      <c r="FR156" s="403"/>
      <c r="FS156" s="403"/>
      <c r="FT156" s="403"/>
      <c r="FU156" s="403"/>
      <c r="FV156" s="403"/>
      <c r="FW156" s="403"/>
      <c r="FX156" s="403"/>
      <c r="FY156" s="403"/>
      <c r="FZ156" s="403"/>
      <c r="GA156" s="403"/>
      <c r="GB156" s="403"/>
      <c r="GC156" s="403"/>
      <c r="GD156" s="403"/>
      <c r="GE156" s="403"/>
      <c r="GF156" s="403"/>
      <c r="GG156" s="403"/>
      <c r="GH156" s="403"/>
      <c r="GI156" s="403"/>
      <c r="GJ156" s="403"/>
      <c r="GK156" s="403"/>
      <c r="GL156" s="403"/>
      <c r="GM156" s="403"/>
      <c r="GN156" s="403"/>
      <c r="GO156" s="403"/>
      <c r="GP156" s="403"/>
      <c r="GQ156" s="403"/>
      <c r="GR156" s="403"/>
      <c r="GS156" s="403"/>
      <c r="GT156" s="403"/>
      <c r="GU156" s="403"/>
      <c r="GV156" s="403"/>
      <c r="GW156" s="403"/>
      <c r="GX156" s="403"/>
      <c r="GY156" s="403"/>
      <c r="GZ156" s="403"/>
      <c r="HA156" s="403"/>
      <c r="HB156" s="403"/>
      <c r="HC156" s="403"/>
      <c r="HD156" s="403"/>
      <c r="HE156" s="403"/>
      <c r="HF156" s="403"/>
      <c r="HG156" s="403"/>
      <c r="HH156" s="403"/>
      <c r="HI156" s="403"/>
      <c r="HJ156" s="403"/>
      <c r="HK156" s="403"/>
      <c r="HL156" s="403"/>
      <c r="HM156" s="403"/>
      <c r="HN156" s="403"/>
      <c r="HO156" s="403"/>
      <c r="HP156" s="403"/>
      <c r="HQ156" s="403"/>
      <c r="HR156" s="403"/>
      <c r="HS156" s="403"/>
      <c r="HT156" s="403"/>
      <c r="HU156" s="403"/>
      <c r="HV156" s="403"/>
      <c r="HW156" s="403"/>
      <c r="HX156" s="403"/>
      <c r="HY156" s="403"/>
      <c r="HZ156" s="403"/>
      <c r="IA156" s="403"/>
      <c r="IB156" s="403"/>
      <c r="IC156" s="403"/>
      <c r="ID156" s="403"/>
      <c r="IE156" s="403"/>
      <c r="IF156" s="403"/>
      <c r="IG156" s="403"/>
      <c r="IH156" s="403"/>
      <c r="II156" s="403"/>
      <c r="IJ156" s="403"/>
      <c r="IK156" s="403"/>
      <c r="IL156" s="403"/>
      <c r="IM156" s="403"/>
      <c r="IN156" s="403"/>
      <c r="IO156" s="403"/>
      <c r="IP156" s="403"/>
      <c r="IQ156" s="403"/>
      <c r="IR156" s="403"/>
      <c r="IS156" s="403"/>
      <c r="IT156" s="403"/>
      <c r="IU156" s="403"/>
      <c r="IV156" s="403"/>
    </row>
    <row r="157" spans="1:256" x14ac:dyDescent="0.3">
      <c r="A157" s="404"/>
      <c r="B157" s="471"/>
      <c r="C157" s="471"/>
      <c r="D157" s="471"/>
      <c r="E157" s="471"/>
      <c r="F157" s="471"/>
      <c r="G157" s="471"/>
      <c r="H157" s="471"/>
      <c r="I157" s="471"/>
      <c r="J157" s="471"/>
      <c r="K157" s="471"/>
      <c r="L157" s="471"/>
      <c r="M157" s="471"/>
      <c r="N157" s="488"/>
      <c r="O157" s="471"/>
      <c r="P157" s="402"/>
    </row>
    <row r="158" spans="1:256" s="494" customFormat="1" x14ac:dyDescent="0.3">
      <c r="A158" s="427"/>
      <c r="B158" s="428" t="s">
        <v>206</v>
      </c>
      <c r="C158" s="428"/>
      <c r="D158" s="428"/>
      <c r="E158" s="428"/>
      <c r="F158" s="428"/>
      <c r="G158" s="428"/>
      <c r="H158" s="428"/>
      <c r="I158" s="428"/>
      <c r="J158" s="428"/>
      <c r="K158" s="428"/>
      <c r="L158" s="428"/>
      <c r="M158" s="428"/>
      <c r="N158" s="470">
        <f>+'Feb 18'!N161</f>
        <v>67</v>
      </c>
      <c r="O158" s="430"/>
      <c r="P158" s="418"/>
      <c r="Q158" s="419"/>
      <c r="R158" s="419"/>
      <c r="S158" s="419"/>
      <c r="T158" s="419"/>
      <c r="U158" s="419"/>
      <c r="V158" s="419"/>
      <c r="W158" s="419"/>
      <c r="X158" s="419"/>
      <c r="Y158" s="419"/>
      <c r="Z158" s="419"/>
      <c r="AA158" s="419"/>
      <c r="AB158" s="419"/>
      <c r="AC158" s="419"/>
      <c r="AD158" s="419"/>
      <c r="AE158" s="419"/>
      <c r="AF158" s="419"/>
      <c r="AG158" s="419"/>
      <c r="AH158" s="419"/>
      <c r="AI158" s="419"/>
      <c r="AJ158" s="419"/>
      <c r="AK158" s="419"/>
      <c r="AL158" s="419"/>
      <c r="AM158" s="419"/>
      <c r="AN158" s="419"/>
      <c r="AO158" s="419"/>
      <c r="AP158" s="419"/>
      <c r="AQ158" s="419"/>
      <c r="AR158" s="419"/>
      <c r="AS158" s="419"/>
      <c r="AT158" s="419"/>
      <c r="AU158" s="419"/>
      <c r="AV158" s="419"/>
      <c r="AW158" s="419"/>
      <c r="AX158" s="419"/>
      <c r="AY158" s="419"/>
      <c r="AZ158" s="419"/>
      <c r="BA158" s="419"/>
      <c r="BB158" s="419"/>
      <c r="BC158" s="419"/>
      <c r="BD158" s="419"/>
      <c r="BE158" s="419"/>
      <c r="BF158" s="419"/>
      <c r="BG158" s="419"/>
      <c r="BH158" s="419"/>
      <c r="BI158" s="419"/>
      <c r="BJ158" s="419"/>
      <c r="BK158" s="419"/>
      <c r="BL158" s="419"/>
      <c r="BM158" s="419"/>
      <c r="BN158" s="419"/>
      <c r="BO158" s="419"/>
      <c r="BP158" s="419"/>
      <c r="BQ158" s="419"/>
      <c r="BR158" s="419"/>
      <c r="BS158" s="419"/>
      <c r="BT158" s="419"/>
      <c r="BU158" s="419"/>
      <c r="BV158" s="419"/>
      <c r="BW158" s="419"/>
      <c r="BX158" s="419"/>
      <c r="BY158" s="419"/>
      <c r="BZ158" s="419"/>
      <c r="CA158" s="419"/>
      <c r="CB158" s="419"/>
      <c r="CC158" s="419"/>
      <c r="CD158" s="419"/>
      <c r="CE158" s="419"/>
      <c r="CF158" s="419"/>
      <c r="CG158" s="419"/>
      <c r="CH158" s="419"/>
      <c r="CI158" s="419"/>
      <c r="CJ158" s="419"/>
      <c r="CK158" s="419"/>
      <c r="CL158" s="419"/>
      <c r="CM158" s="419"/>
      <c r="CN158" s="419"/>
      <c r="CO158" s="419"/>
      <c r="CP158" s="419"/>
      <c r="CQ158" s="419"/>
      <c r="CR158" s="419"/>
      <c r="CS158" s="419"/>
      <c r="CT158" s="419"/>
      <c r="CU158" s="419"/>
      <c r="CV158" s="419"/>
      <c r="CW158" s="419"/>
      <c r="CX158" s="419"/>
      <c r="CY158" s="419"/>
      <c r="CZ158" s="419"/>
      <c r="DA158" s="419"/>
      <c r="DB158" s="419"/>
      <c r="DC158" s="419"/>
      <c r="DD158" s="419"/>
      <c r="DE158" s="419"/>
      <c r="DF158" s="419"/>
      <c r="DG158" s="419"/>
      <c r="DH158" s="419"/>
      <c r="DI158" s="419"/>
      <c r="DJ158" s="419"/>
      <c r="DK158" s="419"/>
      <c r="DL158" s="419"/>
      <c r="DM158" s="419"/>
      <c r="DN158" s="419"/>
      <c r="DO158" s="419"/>
      <c r="DP158" s="419"/>
      <c r="DQ158" s="419"/>
      <c r="DR158" s="419"/>
      <c r="DS158" s="419"/>
      <c r="DT158" s="419"/>
      <c r="DU158" s="419"/>
      <c r="DV158" s="419"/>
      <c r="DW158" s="419"/>
      <c r="DX158" s="419"/>
      <c r="DY158" s="419"/>
      <c r="DZ158" s="419"/>
      <c r="EA158" s="419"/>
      <c r="EB158" s="419"/>
      <c r="EC158" s="419"/>
      <c r="ED158" s="419"/>
      <c r="EE158" s="419"/>
      <c r="EF158" s="419"/>
      <c r="EG158" s="419"/>
      <c r="EH158" s="419"/>
      <c r="EI158" s="419"/>
      <c r="EJ158" s="419"/>
      <c r="EK158" s="419"/>
      <c r="EL158" s="419"/>
      <c r="EM158" s="419"/>
      <c r="EN158" s="419"/>
      <c r="EO158" s="419"/>
      <c r="EP158" s="419"/>
      <c r="EQ158" s="419"/>
      <c r="ER158" s="419"/>
      <c r="ES158" s="419"/>
      <c r="ET158" s="419"/>
      <c r="EU158" s="419"/>
      <c r="EV158" s="419"/>
      <c r="EW158" s="419"/>
      <c r="EX158" s="419"/>
      <c r="EY158" s="419"/>
      <c r="EZ158" s="419"/>
      <c r="FA158" s="419"/>
      <c r="FB158" s="419"/>
      <c r="FC158" s="419"/>
      <c r="FD158" s="419"/>
      <c r="FE158" s="419"/>
      <c r="FF158" s="419"/>
      <c r="FG158" s="419"/>
      <c r="FH158" s="419"/>
      <c r="FI158" s="419"/>
      <c r="FJ158" s="419"/>
      <c r="FK158" s="419"/>
      <c r="FL158" s="419"/>
      <c r="FM158" s="419"/>
      <c r="FN158" s="419"/>
      <c r="FO158" s="419"/>
      <c r="FP158" s="419"/>
      <c r="FQ158" s="419"/>
      <c r="FR158" s="419"/>
      <c r="FS158" s="419"/>
      <c r="FT158" s="419"/>
      <c r="FU158" s="419"/>
      <c r="FV158" s="419"/>
      <c r="FW158" s="419"/>
      <c r="FX158" s="419"/>
      <c r="FY158" s="419"/>
      <c r="FZ158" s="419"/>
      <c r="GA158" s="419"/>
      <c r="GB158" s="419"/>
      <c r="GC158" s="419"/>
      <c r="GD158" s="419"/>
      <c r="GE158" s="419"/>
      <c r="GF158" s="419"/>
      <c r="GG158" s="419"/>
      <c r="GH158" s="419"/>
      <c r="GI158" s="419"/>
      <c r="GJ158" s="419"/>
      <c r="GK158" s="419"/>
      <c r="GL158" s="419"/>
      <c r="GM158" s="419"/>
      <c r="GN158" s="419"/>
      <c r="GO158" s="419"/>
      <c r="GP158" s="419"/>
      <c r="GQ158" s="419"/>
      <c r="GR158" s="419"/>
      <c r="GS158" s="419"/>
      <c r="GT158" s="419"/>
      <c r="GU158" s="419"/>
      <c r="GV158" s="419"/>
      <c r="GW158" s="419"/>
      <c r="GX158" s="419"/>
      <c r="GY158" s="419"/>
      <c r="GZ158" s="419"/>
      <c r="HA158" s="419"/>
      <c r="HB158" s="419"/>
      <c r="HC158" s="419"/>
      <c r="HD158" s="419"/>
      <c r="HE158" s="419"/>
      <c r="HF158" s="419"/>
      <c r="HG158" s="419"/>
      <c r="HH158" s="419"/>
      <c r="HI158" s="419"/>
      <c r="HJ158" s="419"/>
      <c r="HK158" s="419"/>
      <c r="HL158" s="419"/>
      <c r="HM158" s="419"/>
      <c r="HN158" s="419"/>
      <c r="HO158" s="419"/>
      <c r="HP158" s="419"/>
      <c r="HQ158" s="419"/>
      <c r="HR158" s="419"/>
      <c r="HS158" s="419"/>
      <c r="HT158" s="419"/>
      <c r="HU158" s="419"/>
      <c r="HV158" s="419"/>
      <c r="HW158" s="419"/>
      <c r="HX158" s="419"/>
      <c r="HY158" s="419"/>
      <c r="HZ158" s="419"/>
      <c r="IA158" s="419"/>
      <c r="IB158" s="419"/>
      <c r="IC158" s="419"/>
      <c r="ID158" s="419"/>
      <c r="IE158" s="419"/>
      <c r="IF158" s="419"/>
      <c r="IG158" s="419"/>
      <c r="IH158" s="419"/>
      <c r="II158" s="419"/>
      <c r="IJ158" s="419"/>
      <c r="IK158" s="419"/>
      <c r="IL158" s="419"/>
      <c r="IM158" s="419"/>
      <c r="IN158" s="419"/>
      <c r="IO158" s="419"/>
      <c r="IP158" s="419"/>
      <c r="IQ158" s="419"/>
      <c r="IR158" s="419"/>
      <c r="IS158" s="419"/>
      <c r="IT158" s="419"/>
      <c r="IU158" s="419"/>
      <c r="IV158" s="419"/>
    </row>
    <row r="159" spans="1:256" s="495" customFormat="1" x14ac:dyDescent="0.3">
      <c r="A159" s="427"/>
      <c r="B159" s="428" t="s">
        <v>207</v>
      </c>
      <c r="C159" s="428"/>
      <c r="D159" s="428"/>
      <c r="E159" s="428"/>
      <c r="F159" s="428"/>
      <c r="G159" s="428"/>
      <c r="H159" s="428"/>
      <c r="I159" s="428"/>
      <c r="J159" s="428"/>
      <c r="K159" s="428"/>
      <c r="L159" s="428"/>
      <c r="M159" s="428"/>
      <c r="N159" s="470">
        <v>18</v>
      </c>
      <c r="O159" s="430"/>
      <c r="P159" s="418"/>
      <c r="Q159" s="419"/>
      <c r="R159" s="419"/>
      <c r="S159" s="419"/>
      <c r="T159" s="419"/>
      <c r="U159" s="419"/>
      <c r="V159" s="419"/>
      <c r="W159" s="419"/>
      <c r="X159" s="419"/>
      <c r="Y159" s="419"/>
      <c r="Z159" s="419"/>
      <c r="AA159" s="419"/>
      <c r="AB159" s="419"/>
      <c r="AC159" s="419"/>
      <c r="AD159" s="419"/>
      <c r="AE159" s="419"/>
      <c r="AF159" s="419"/>
      <c r="AG159" s="419"/>
      <c r="AH159" s="419"/>
      <c r="AI159" s="419"/>
      <c r="AJ159" s="419"/>
      <c r="AK159" s="419"/>
      <c r="AL159" s="419"/>
      <c r="AM159" s="419"/>
      <c r="AN159" s="419"/>
      <c r="AO159" s="419"/>
      <c r="AP159" s="419"/>
      <c r="AQ159" s="419"/>
      <c r="AR159" s="419"/>
      <c r="AS159" s="419"/>
      <c r="AT159" s="419"/>
      <c r="AU159" s="419"/>
      <c r="AV159" s="419"/>
      <c r="AW159" s="419"/>
      <c r="AX159" s="419"/>
      <c r="AY159" s="419"/>
      <c r="AZ159" s="419"/>
      <c r="BA159" s="419"/>
      <c r="BB159" s="419"/>
      <c r="BC159" s="419"/>
      <c r="BD159" s="419"/>
      <c r="BE159" s="419"/>
      <c r="BF159" s="419"/>
      <c r="BG159" s="419"/>
      <c r="BH159" s="419"/>
      <c r="BI159" s="419"/>
      <c r="BJ159" s="419"/>
      <c r="BK159" s="419"/>
      <c r="BL159" s="419"/>
      <c r="BM159" s="419"/>
      <c r="BN159" s="419"/>
      <c r="BO159" s="419"/>
      <c r="BP159" s="419"/>
      <c r="BQ159" s="419"/>
      <c r="BR159" s="419"/>
      <c r="BS159" s="419"/>
      <c r="BT159" s="419"/>
      <c r="BU159" s="419"/>
      <c r="BV159" s="419"/>
      <c r="BW159" s="419"/>
      <c r="BX159" s="419"/>
      <c r="BY159" s="419"/>
      <c r="BZ159" s="419"/>
      <c r="CA159" s="419"/>
      <c r="CB159" s="419"/>
      <c r="CC159" s="419"/>
      <c r="CD159" s="419"/>
      <c r="CE159" s="419"/>
      <c r="CF159" s="419"/>
      <c r="CG159" s="419"/>
      <c r="CH159" s="419"/>
      <c r="CI159" s="419"/>
      <c r="CJ159" s="419"/>
      <c r="CK159" s="419"/>
      <c r="CL159" s="419"/>
      <c r="CM159" s="419"/>
      <c r="CN159" s="419"/>
      <c r="CO159" s="419"/>
      <c r="CP159" s="419"/>
      <c r="CQ159" s="419"/>
      <c r="CR159" s="419"/>
      <c r="CS159" s="419"/>
      <c r="CT159" s="419"/>
      <c r="CU159" s="419"/>
      <c r="CV159" s="419"/>
      <c r="CW159" s="419"/>
      <c r="CX159" s="419"/>
      <c r="CY159" s="419"/>
      <c r="CZ159" s="419"/>
      <c r="DA159" s="419"/>
      <c r="DB159" s="419"/>
      <c r="DC159" s="419"/>
      <c r="DD159" s="419"/>
      <c r="DE159" s="419"/>
      <c r="DF159" s="419"/>
      <c r="DG159" s="419"/>
      <c r="DH159" s="419"/>
      <c r="DI159" s="419"/>
      <c r="DJ159" s="419"/>
      <c r="DK159" s="419"/>
      <c r="DL159" s="419"/>
      <c r="DM159" s="419"/>
      <c r="DN159" s="419"/>
      <c r="DO159" s="419"/>
      <c r="DP159" s="419"/>
      <c r="DQ159" s="419"/>
      <c r="DR159" s="419"/>
      <c r="DS159" s="419"/>
      <c r="DT159" s="419"/>
      <c r="DU159" s="419"/>
      <c r="DV159" s="419"/>
      <c r="DW159" s="419"/>
      <c r="DX159" s="419"/>
      <c r="DY159" s="419"/>
      <c r="DZ159" s="419"/>
      <c r="EA159" s="419"/>
      <c r="EB159" s="419"/>
      <c r="EC159" s="419"/>
      <c r="ED159" s="419"/>
      <c r="EE159" s="419"/>
      <c r="EF159" s="419"/>
      <c r="EG159" s="419"/>
      <c r="EH159" s="419"/>
      <c r="EI159" s="419"/>
      <c r="EJ159" s="419"/>
      <c r="EK159" s="419"/>
      <c r="EL159" s="419"/>
      <c r="EM159" s="419"/>
      <c r="EN159" s="419"/>
      <c r="EO159" s="419"/>
      <c r="EP159" s="419"/>
      <c r="EQ159" s="419"/>
      <c r="ER159" s="419"/>
      <c r="ES159" s="419"/>
      <c r="ET159" s="419"/>
      <c r="EU159" s="419"/>
      <c r="EV159" s="419"/>
      <c r="EW159" s="419"/>
      <c r="EX159" s="419"/>
      <c r="EY159" s="419"/>
      <c r="EZ159" s="419"/>
      <c r="FA159" s="419"/>
      <c r="FB159" s="419"/>
      <c r="FC159" s="419"/>
      <c r="FD159" s="419"/>
      <c r="FE159" s="419"/>
      <c r="FF159" s="419"/>
      <c r="FG159" s="419"/>
      <c r="FH159" s="419"/>
      <c r="FI159" s="419"/>
      <c r="FJ159" s="419"/>
      <c r="FK159" s="419"/>
      <c r="FL159" s="419"/>
      <c r="FM159" s="419"/>
      <c r="FN159" s="419"/>
      <c r="FO159" s="419"/>
      <c r="FP159" s="419"/>
      <c r="FQ159" s="419"/>
      <c r="FR159" s="419"/>
      <c r="FS159" s="419"/>
      <c r="FT159" s="419"/>
      <c r="FU159" s="419"/>
      <c r="FV159" s="419"/>
      <c r="FW159" s="419"/>
      <c r="FX159" s="419"/>
      <c r="FY159" s="419"/>
      <c r="FZ159" s="419"/>
      <c r="GA159" s="419"/>
      <c r="GB159" s="419"/>
      <c r="GC159" s="419"/>
      <c r="GD159" s="419"/>
      <c r="GE159" s="419"/>
      <c r="GF159" s="419"/>
      <c r="GG159" s="419"/>
      <c r="GH159" s="419"/>
      <c r="GI159" s="419"/>
      <c r="GJ159" s="419"/>
      <c r="GK159" s="419"/>
      <c r="GL159" s="419"/>
      <c r="GM159" s="419"/>
      <c r="GN159" s="419"/>
      <c r="GO159" s="419"/>
      <c r="GP159" s="419"/>
      <c r="GQ159" s="419"/>
      <c r="GR159" s="419"/>
      <c r="GS159" s="419"/>
      <c r="GT159" s="419"/>
      <c r="GU159" s="419"/>
      <c r="GV159" s="419"/>
      <c r="GW159" s="419"/>
      <c r="GX159" s="419"/>
      <c r="GY159" s="419"/>
      <c r="GZ159" s="419"/>
      <c r="HA159" s="419"/>
      <c r="HB159" s="419"/>
      <c r="HC159" s="419"/>
      <c r="HD159" s="419"/>
      <c r="HE159" s="419"/>
      <c r="HF159" s="419"/>
      <c r="HG159" s="419"/>
      <c r="HH159" s="419"/>
      <c r="HI159" s="419"/>
      <c r="HJ159" s="419"/>
      <c r="HK159" s="419"/>
      <c r="HL159" s="419"/>
      <c r="HM159" s="419"/>
      <c r="HN159" s="419"/>
      <c r="HO159" s="419"/>
      <c r="HP159" s="419"/>
      <c r="HQ159" s="419"/>
      <c r="HR159" s="419"/>
      <c r="HS159" s="419"/>
      <c r="HT159" s="419"/>
      <c r="HU159" s="419"/>
      <c r="HV159" s="419"/>
      <c r="HW159" s="419"/>
      <c r="HX159" s="419"/>
      <c r="HY159" s="419"/>
      <c r="HZ159" s="419"/>
      <c r="IA159" s="419"/>
      <c r="IB159" s="419"/>
      <c r="IC159" s="419"/>
      <c r="ID159" s="419"/>
      <c r="IE159" s="419"/>
      <c r="IF159" s="419"/>
      <c r="IG159" s="419"/>
      <c r="IH159" s="419"/>
      <c r="II159" s="419"/>
      <c r="IJ159" s="419"/>
      <c r="IK159" s="419"/>
      <c r="IL159" s="419"/>
      <c r="IM159" s="419"/>
      <c r="IN159" s="419"/>
      <c r="IO159" s="419"/>
      <c r="IP159" s="419"/>
      <c r="IQ159" s="419"/>
      <c r="IR159" s="419"/>
      <c r="IS159" s="419"/>
      <c r="IT159" s="419"/>
      <c r="IU159" s="419"/>
      <c r="IV159" s="419"/>
    </row>
    <row r="160" spans="1:256" s="496" customFormat="1" x14ac:dyDescent="0.3">
      <c r="A160" s="427"/>
      <c r="B160" s="428" t="s">
        <v>208</v>
      </c>
      <c r="C160" s="428"/>
      <c r="D160" s="428"/>
      <c r="E160" s="428"/>
      <c r="F160" s="428"/>
      <c r="G160" s="428"/>
      <c r="H160" s="428"/>
      <c r="I160" s="428"/>
      <c r="J160" s="428"/>
      <c r="K160" s="428"/>
      <c r="L160" s="428"/>
      <c r="M160" s="428"/>
      <c r="N160" s="470">
        <v>0</v>
      </c>
      <c r="O160" s="430"/>
      <c r="P160" s="418"/>
      <c r="Q160" s="419"/>
      <c r="R160" s="419"/>
      <c r="S160" s="419"/>
      <c r="T160" s="419"/>
      <c r="U160" s="419"/>
      <c r="V160" s="419"/>
      <c r="W160" s="419"/>
      <c r="X160" s="419"/>
      <c r="Y160" s="419"/>
      <c r="Z160" s="419"/>
      <c r="AA160" s="419"/>
      <c r="AB160" s="419"/>
      <c r="AC160" s="419"/>
      <c r="AD160" s="419"/>
      <c r="AE160" s="419"/>
      <c r="AF160" s="419"/>
      <c r="AG160" s="419"/>
      <c r="AH160" s="419"/>
      <c r="AI160" s="419"/>
      <c r="AJ160" s="419"/>
      <c r="AK160" s="419"/>
      <c r="AL160" s="419"/>
      <c r="AM160" s="419"/>
      <c r="AN160" s="419"/>
      <c r="AO160" s="419"/>
      <c r="AP160" s="419"/>
      <c r="AQ160" s="419"/>
      <c r="AR160" s="419"/>
      <c r="AS160" s="419"/>
      <c r="AT160" s="419"/>
      <c r="AU160" s="419"/>
      <c r="AV160" s="419"/>
      <c r="AW160" s="419"/>
      <c r="AX160" s="419"/>
      <c r="AY160" s="419"/>
      <c r="AZ160" s="419"/>
      <c r="BA160" s="419"/>
      <c r="BB160" s="419"/>
      <c r="BC160" s="419"/>
      <c r="BD160" s="419"/>
      <c r="BE160" s="419"/>
      <c r="BF160" s="419"/>
      <c r="BG160" s="419"/>
      <c r="BH160" s="419"/>
      <c r="BI160" s="419"/>
      <c r="BJ160" s="419"/>
      <c r="BK160" s="419"/>
      <c r="BL160" s="419"/>
      <c r="BM160" s="419"/>
      <c r="BN160" s="419"/>
      <c r="BO160" s="419"/>
      <c r="BP160" s="419"/>
      <c r="BQ160" s="419"/>
      <c r="BR160" s="419"/>
      <c r="BS160" s="419"/>
      <c r="BT160" s="419"/>
      <c r="BU160" s="419"/>
      <c r="BV160" s="419"/>
      <c r="BW160" s="419"/>
      <c r="BX160" s="419"/>
      <c r="BY160" s="419"/>
      <c r="BZ160" s="419"/>
      <c r="CA160" s="419"/>
      <c r="CB160" s="419"/>
      <c r="CC160" s="419"/>
      <c r="CD160" s="419"/>
      <c r="CE160" s="419"/>
      <c r="CF160" s="419"/>
      <c r="CG160" s="419"/>
      <c r="CH160" s="419"/>
      <c r="CI160" s="419"/>
      <c r="CJ160" s="419"/>
      <c r="CK160" s="419"/>
      <c r="CL160" s="419"/>
      <c r="CM160" s="419"/>
      <c r="CN160" s="419"/>
      <c r="CO160" s="419"/>
      <c r="CP160" s="419"/>
      <c r="CQ160" s="419"/>
      <c r="CR160" s="419"/>
      <c r="CS160" s="419"/>
      <c r="CT160" s="419"/>
      <c r="CU160" s="419"/>
      <c r="CV160" s="419"/>
      <c r="CW160" s="419"/>
      <c r="CX160" s="419"/>
      <c r="CY160" s="419"/>
      <c r="CZ160" s="419"/>
      <c r="DA160" s="419"/>
      <c r="DB160" s="419"/>
      <c r="DC160" s="419"/>
      <c r="DD160" s="419"/>
      <c r="DE160" s="419"/>
      <c r="DF160" s="419"/>
      <c r="DG160" s="419"/>
      <c r="DH160" s="419"/>
      <c r="DI160" s="419"/>
      <c r="DJ160" s="419"/>
      <c r="DK160" s="419"/>
      <c r="DL160" s="419"/>
      <c r="DM160" s="419"/>
      <c r="DN160" s="419"/>
      <c r="DO160" s="419"/>
      <c r="DP160" s="419"/>
      <c r="DQ160" s="419"/>
      <c r="DR160" s="419"/>
      <c r="DS160" s="419"/>
      <c r="DT160" s="419"/>
      <c r="DU160" s="419"/>
      <c r="DV160" s="419"/>
      <c r="DW160" s="419"/>
      <c r="DX160" s="419"/>
      <c r="DY160" s="419"/>
      <c r="DZ160" s="419"/>
      <c r="EA160" s="419"/>
      <c r="EB160" s="419"/>
      <c r="EC160" s="419"/>
      <c r="ED160" s="419"/>
      <c r="EE160" s="419"/>
      <c r="EF160" s="419"/>
      <c r="EG160" s="419"/>
      <c r="EH160" s="419"/>
      <c r="EI160" s="419"/>
      <c r="EJ160" s="419"/>
      <c r="EK160" s="419"/>
      <c r="EL160" s="419"/>
      <c r="EM160" s="419"/>
      <c r="EN160" s="419"/>
      <c r="EO160" s="419"/>
      <c r="EP160" s="419"/>
      <c r="EQ160" s="419"/>
      <c r="ER160" s="419"/>
      <c r="ES160" s="419"/>
      <c r="ET160" s="419"/>
      <c r="EU160" s="419"/>
      <c r="EV160" s="419"/>
      <c r="EW160" s="419"/>
      <c r="EX160" s="419"/>
      <c r="EY160" s="419"/>
      <c r="EZ160" s="419"/>
      <c r="FA160" s="419"/>
      <c r="FB160" s="419"/>
      <c r="FC160" s="419"/>
      <c r="FD160" s="419"/>
      <c r="FE160" s="419"/>
      <c r="FF160" s="419"/>
      <c r="FG160" s="419"/>
      <c r="FH160" s="419"/>
      <c r="FI160" s="419"/>
      <c r="FJ160" s="419"/>
      <c r="FK160" s="419"/>
      <c r="FL160" s="419"/>
      <c r="FM160" s="419"/>
      <c r="FN160" s="419"/>
      <c r="FO160" s="419"/>
      <c r="FP160" s="419"/>
      <c r="FQ160" s="419"/>
      <c r="FR160" s="419"/>
      <c r="FS160" s="419"/>
      <c r="FT160" s="419"/>
      <c r="FU160" s="419"/>
      <c r="FV160" s="419"/>
      <c r="FW160" s="419"/>
      <c r="FX160" s="419"/>
      <c r="FY160" s="419"/>
      <c r="FZ160" s="419"/>
      <c r="GA160" s="419"/>
      <c r="GB160" s="419"/>
      <c r="GC160" s="419"/>
      <c r="GD160" s="419"/>
      <c r="GE160" s="419"/>
      <c r="GF160" s="419"/>
      <c r="GG160" s="419"/>
      <c r="GH160" s="419"/>
      <c r="GI160" s="419"/>
      <c r="GJ160" s="419"/>
      <c r="GK160" s="419"/>
      <c r="GL160" s="419"/>
      <c r="GM160" s="419"/>
      <c r="GN160" s="419"/>
      <c r="GO160" s="419"/>
      <c r="GP160" s="419"/>
      <c r="GQ160" s="419"/>
      <c r="GR160" s="419"/>
      <c r="GS160" s="419"/>
      <c r="GT160" s="419"/>
      <c r="GU160" s="419"/>
      <c r="GV160" s="419"/>
      <c r="GW160" s="419"/>
      <c r="GX160" s="419"/>
      <c r="GY160" s="419"/>
      <c r="GZ160" s="419"/>
      <c r="HA160" s="419"/>
      <c r="HB160" s="419"/>
      <c r="HC160" s="419"/>
      <c r="HD160" s="419"/>
      <c r="HE160" s="419"/>
      <c r="HF160" s="419"/>
      <c r="HG160" s="419"/>
      <c r="HH160" s="419"/>
      <c r="HI160" s="419"/>
      <c r="HJ160" s="419"/>
      <c r="HK160" s="419"/>
      <c r="HL160" s="419"/>
      <c r="HM160" s="419"/>
      <c r="HN160" s="419"/>
      <c r="HO160" s="419"/>
      <c r="HP160" s="419"/>
      <c r="HQ160" s="419"/>
      <c r="HR160" s="419"/>
      <c r="HS160" s="419"/>
      <c r="HT160" s="419"/>
      <c r="HU160" s="419"/>
      <c r="HV160" s="419"/>
      <c r="HW160" s="419"/>
      <c r="HX160" s="419"/>
      <c r="HY160" s="419"/>
      <c r="HZ160" s="419"/>
      <c r="IA160" s="419"/>
      <c r="IB160" s="419"/>
      <c r="IC160" s="419"/>
      <c r="ID160" s="419"/>
      <c r="IE160" s="419"/>
      <c r="IF160" s="419"/>
      <c r="IG160" s="419"/>
      <c r="IH160" s="419"/>
      <c r="II160" s="419"/>
      <c r="IJ160" s="419"/>
      <c r="IK160" s="419"/>
      <c r="IL160" s="419"/>
      <c r="IM160" s="419"/>
      <c r="IN160" s="419"/>
      <c r="IO160" s="419"/>
      <c r="IP160" s="419"/>
      <c r="IQ160" s="419"/>
      <c r="IR160" s="419"/>
      <c r="IS160" s="419"/>
      <c r="IT160" s="419"/>
      <c r="IU160" s="419"/>
      <c r="IV160" s="419"/>
    </row>
    <row r="161" spans="1:256" s="497" customFormat="1" x14ac:dyDescent="0.3">
      <c r="A161" s="427"/>
      <c r="B161" s="428" t="s">
        <v>217</v>
      </c>
      <c r="C161" s="428"/>
      <c r="D161" s="428"/>
      <c r="E161" s="428"/>
      <c r="F161" s="428"/>
      <c r="G161" s="428"/>
      <c r="H161" s="428"/>
      <c r="I161" s="428"/>
      <c r="J161" s="428"/>
      <c r="K161" s="428"/>
      <c r="L161" s="428"/>
      <c r="M161" s="428"/>
      <c r="N161" s="470">
        <f>N158-N159-N160</f>
        <v>49</v>
      </c>
      <c r="O161" s="430"/>
      <c r="P161" s="418"/>
      <c r="Q161" s="419"/>
      <c r="R161" s="419"/>
      <c r="S161" s="419"/>
      <c r="T161" s="419"/>
      <c r="U161" s="419"/>
      <c r="V161" s="419"/>
      <c r="W161" s="419"/>
      <c r="X161" s="419"/>
      <c r="Y161" s="419"/>
      <c r="Z161" s="419"/>
      <c r="AA161" s="419"/>
      <c r="AB161" s="419"/>
      <c r="AC161" s="419"/>
      <c r="AD161" s="419"/>
      <c r="AE161" s="419"/>
      <c r="AF161" s="419"/>
      <c r="AG161" s="419"/>
      <c r="AH161" s="419"/>
      <c r="AI161" s="419"/>
      <c r="AJ161" s="419"/>
      <c r="AK161" s="419"/>
      <c r="AL161" s="419"/>
      <c r="AM161" s="419"/>
      <c r="AN161" s="419"/>
      <c r="AO161" s="419"/>
      <c r="AP161" s="419"/>
      <c r="AQ161" s="419"/>
      <c r="AR161" s="419"/>
      <c r="AS161" s="419"/>
      <c r="AT161" s="419"/>
      <c r="AU161" s="419"/>
      <c r="AV161" s="419"/>
      <c r="AW161" s="419"/>
      <c r="AX161" s="419"/>
      <c r="AY161" s="419"/>
      <c r="AZ161" s="419"/>
      <c r="BA161" s="419"/>
      <c r="BB161" s="419"/>
      <c r="BC161" s="419"/>
      <c r="BD161" s="419"/>
      <c r="BE161" s="419"/>
      <c r="BF161" s="419"/>
      <c r="BG161" s="419"/>
      <c r="BH161" s="419"/>
      <c r="BI161" s="419"/>
      <c r="BJ161" s="419"/>
      <c r="BK161" s="419"/>
      <c r="BL161" s="419"/>
      <c r="BM161" s="419"/>
      <c r="BN161" s="419"/>
      <c r="BO161" s="419"/>
      <c r="BP161" s="419"/>
      <c r="BQ161" s="419"/>
      <c r="BR161" s="419"/>
      <c r="BS161" s="419"/>
      <c r="BT161" s="419"/>
      <c r="BU161" s="419"/>
      <c r="BV161" s="419"/>
      <c r="BW161" s="419"/>
      <c r="BX161" s="419"/>
      <c r="BY161" s="419"/>
      <c r="BZ161" s="419"/>
      <c r="CA161" s="419"/>
      <c r="CB161" s="419"/>
      <c r="CC161" s="419"/>
      <c r="CD161" s="419"/>
      <c r="CE161" s="419"/>
      <c r="CF161" s="419"/>
      <c r="CG161" s="419"/>
      <c r="CH161" s="419"/>
      <c r="CI161" s="419"/>
      <c r="CJ161" s="419"/>
      <c r="CK161" s="419"/>
      <c r="CL161" s="419"/>
      <c r="CM161" s="419"/>
      <c r="CN161" s="419"/>
      <c r="CO161" s="419"/>
      <c r="CP161" s="419"/>
      <c r="CQ161" s="419"/>
      <c r="CR161" s="419"/>
      <c r="CS161" s="419"/>
      <c r="CT161" s="419"/>
      <c r="CU161" s="419"/>
      <c r="CV161" s="419"/>
      <c r="CW161" s="419"/>
      <c r="CX161" s="419"/>
      <c r="CY161" s="419"/>
      <c r="CZ161" s="419"/>
      <c r="DA161" s="419"/>
      <c r="DB161" s="419"/>
      <c r="DC161" s="419"/>
      <c r="DD161" s="419"/>
      <c r="DE161" s="419"/>
      <c r="DF161" s="419"/>
      <c r="DG161" s="419"/>
      <c r="DH161" s="419"/>
      <c r="DI161" s="419"/>
      <c r="DJ161" s="419"/>
      <c r="DK161" s="419"/>
      <c r="DL161" s="419"/>
      <c r="DM161" s="419"/>
      <c r="DN161" s="419"/>
      <c r="DO161" s="419"/>
      <c r="DP161" s="419"/>
      <c r="DQ161" s="419"/>
      <c r="DR161" s="419"/>
      <c r="DS161" s="419"/>
      <c r="DT161" s="419"/>
      <c r="DU161" s="419"/>
      <c r="DV161" s="419"/>
      <c r="DW161" s="419"/>
      <c r="DX161" s="419"/>
      <c r="DY161" s="419"/>
      <c r="DZ161" s="419"/>
      <c r="EA161" s="419"/>
      <c r="EB161" s="419"/>
      <c r="EC161" s="419"/>
      <c r="ED161" s="419"/>
      <c r="EE161" s="419"/>
      <c r="EF161" s="419"/>
      <c r="EG161" s="419"/>
      <c r="EH161" s="419"/>
      <c r="EI161" s="419"/>
      <c r="EJ161" s="419"/>
      <c r="EK161" s="419"/>
      <c r="EL161" s="419"/>
      <c r="EM161" s="419"/>
      <c r="EN161" s="419"/>
      <c r="EO161" s="419"/>
      <c r="EP161" s="419"/>
      <c r="EQ161" s="419"/>
      <c r="ER161" s="419"/>
      <c r="ES161" s="419"/>
      <c r="ET161" s="419"/>
      <c r="EU161" s="419"/>
      <c r="EV161" s="419"/>
      <c r="EW161" s="419"/>
      <c r="EX161" s="419"/>
      <c r="EY161" s="419"/>
      <c r="EZ161" s="419"/>
      <c r="FA161" s="419"/>
      <c r="FB161" s="419"/>
      <c r="FC161" s="419"/>
      <c r="FD161" s="419"/>
      <c r="FE161" s="419"/>
      <c r="FF161" s="419"/>
      <c r="FG161" s="419"/>
      <c r="FH161" s="419"/>
      <c r="FI161" s="419"/>
      <c r="FJ161" s="419"/>
      <c r="FK161" s="419"/>
      <c r="FL161" s="419"/>
      <c r="FM161" s="419"/>
      <c r="FN161" s="419"/>
      <c r="FO161" s="419"/>
      <c r="FP161" s="419"/>
      <c r="FQ161" s="419"/>
      <c r="FR161" s="419"/>
      <c r="FS161" s="419"/>
      <c r="FT161" s="419"/>
      <c r="FU161" s="419"/>
      <c r="FV161" s="419"/>
      <c r="FW161" s="419"/>
      <c r="FX161" s="419"/>
      <c r="FY161" s="419"/>
      <c r="FZ161" s="419"/>
      <c r="GA161" s="419"/>
      <c r="GB161" s="419"/>
      <c r="GC161" s="419"/>
      <c r="GD161" s="419"/>
      <c r="GE161" s="419"/>
      <c r="GF161" s="419"/>
      <c r="GG161" s="419"/>
      <c r="GH161" s="419"/>
      <c r="GI161" s="419"/>
      <c r="GJ161" s="419"/>
      <c r="GK161" s="419"/>
      <c r="GL161" s="419"/>
      <c r="GM161" s="419"/>
      <c r="GN161" s="419"/>
      <c r="GO161" s="419"/>
      <c r="GP161" s="419"/>
      <c r="GQ161" s="419"/>
      <c r="GR161" s="419"/>
      <c r="GS161" s="419"/>
      <c r="GT161" s="419"/>
      <c r="GU161" s="419"/>
      <c r="GV161" s="419"/>
      <c r="GW161" s="419"/>
      <c r="GX161" s="419"/>
      <c r="GY161" s="419"/>
      <c r="GZ161" s="419"/>
      <c r="HA161" s="419"/>
      <c r="HB161" s="419"/>
      <c r="HC161" s="419"/>
      <c r="HD161" s="419"/>
      <c r="HE161" s="419"/>
      <c r="HF161" s="419"/>
      <c r="HG161" s="419"/>
      <c r="HH161" s="419"/>
      <c r="HI161" s="419"/>
      <c r="HJ161" s="419"/>
      <c r="HK161" s="419"/>
      <c r="HL161" s="419"/>
      <c r="HM161" s="419"/>
      <c r="HN161" s="419"/>
      <c r="HO161" s="419"/>
      <c r="HP161" s="419"/>
      <c r="HQ161" s="419"/>
      <c r="HR161" s="419"/>
      <c r="HS161" s="419"/>
      <c r="HT161" s="419"/>
      <c r="HU161" s="419"/>
      <c r="HV161" s="419"/>
      <c r="HW161" s="419"/>
      <c r="HX161" s="419"/>
      <c r="HY161" s="419"/>
      <c r="HZ161" s="419"/>
      <c r="IA161" s="419"/>
      <c r="IB161" s="419"/>
      <c r="IC161" s="419"/>
      <c r="ID161" s="419"/>
      <c r="IE161" s="419"/>
      <c r="IF161" s="419"/>
      <c r="IG161" s="419"/>
      <c r="IH161" s="419"/>
      <c r="II161" s="419"/>
      <c r="IJ161" s="419"/>
      <c r="IK161" s="419"/>
      <c r="IL161" s="419"/>
      <c r="IM161" s="419"/>
      <c r="IN161" s="419"/>
      <c r="IO161" s="419"/>
      <c r="IP161" s="419"/>
      <c r="IQ161" s="419"/>
      <c r="IR161" s="419"/>
      <c r="IS161" s="419"/>
      <c r="IT161" s="419"/>
      <c r="IU161" s="419"/>
      <c r="IV161" s="419"/>
    </row>
    <row r="162" spans="1:256" s="499" customFormat="1" ht="16.2" thickBot="1" x14ac:dyDescent="0.35">
      <c r="A162" s="404"/>
      <c r="B162" s="476"/>
      <c r="C162" s="476"/>
      <c r="D162" s="476"/>
      <c r="E162" s="476"/>
      <c r="F162" s="476"/>
      <c r="G162" s="476"/>
      <c r="H162" s="476"/>
      <c r="I162" s="476"/>
      <c r="J162" s="476"/>
      <c r="K162" s="476"/>
      <c r="L162" s="476"/>
      <c r="M162" s="476"/>
      <c r="N162" s="498"/>
      <c r="O162" s="476"/>
      <c r="P162" s="402"/>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c r="BT162" s="403"/>
      <c r="BU162" s="403"/>
      <c r="BV162" s="403"/>
      <c r="BW162" s="403"/>
      <c r="BX162" s="403"/>
      <c r="BY162" s="403"/>
      <c r="BZ162" s="403"/>
      <c r="CA162" s="403"/>
      <c r="CB162" s="403"/>
      <c r="CC162" s="403"/>
      <c r="CD162" s="403"/>
      <c r="CE162" s="403"/>
      <c r="CF162" s="403"/>
      <c r="CG162" s="403"/>
      <c r="CH162" s="403"/>
      <c r="CI162" s="403"/>
      <c r="CJ162" s="403"/>
      <c r="CK162" s="403"/>
      <c r="CL162" s="403"/>
      <c r="CM162" s="403"/>
      <c r="CN162" s="403"/>
      <c r="CO162" s="403"/>
      <c r="CP162" s="403"/>
      <c r="CQ162" s="403"/>
      <c r="CR162" s="403"/>
      <c r="CS162" s="403"/>
      <c r="CT162" s="403"/>
      <c r="CU162" s="403"/>
      <c r="CV162" s="403"/>
      <c r="CW162" s="403"/>
      <c r="CX162" s="403"/>
      <c r="CY162" s="403"/>
      <c r="CZ162" s="403"/>
      <c r="DA162" s="403"/>
      <c r="DB162" s="403"/>
      <c r="DC162" s="403"/>
      <c r="DD162" s="403"/>
      <c r="DE162" s="403"/>
      <c r="DF162" s="403"/>
      <c r="DG162" s="403"/>
      <c r="DH162" s="403"/>
      <c r="DI162" s="403"/>
      <c r="DJ162" s="403"/>
      <c r="DK162" s="403"/>
      <c r="DL162" s="403"/>
      <c r="DM162" s="403"/>
      <c r="DN162" s="403"/>
      <c r="DO162" s="403"/>
      <c r="DP162" s="403"/>
      <c r="DQ162" s="403"/>
      <c r="DR162" s="403"/>
      <c r="DS162" s="403"/>
      <c r="DT162" s="403"/>
      <c r="DU162" s="403"/>
      <c r="DV162" s="403"/>
      <c r="DW162" s="403"/>
      <c r="DX162" s="403"/>
      <c r="DY162" s="403"/>
      <c r="DZ162" s="403"/>
      <c r="EA162" s="403"/>
      <c r="EB162" s="403"/>
      <c r="EC162" s="403"/>
      <c r="ED162" s="403"/>
      <c r="EE162" s="403"/>
      <c r="EF162" s="403"/>
      <c r="EG162" s="403"/>
      <c r="EH162" s="403"/>
      <c r="EI162" s="403"/>
      <c r="EJ162" s="403"/>
      <c r="EK162" s="403"/>
      <c r="EL162" s="403"/>
      <c r="EM162" s="403"/>
      <c r="EN162" s="403"/>
      <c r="EO162" s="403"/>
      <c r="EP162" s="403"/>
      <c r="EQ162" s="403"/>
      <c r="ER162" s="403"/>
      <c r="ES162" s="403"/>
      <c r="ET162" s="403"/>
      <c r="EU162" s="403"/>
      <c r="EV162" s="403"/>
      <c r="EW162" s="403"/>
      <c r="EX162" s="403"/>
      <c r="EY162" s="403"/>
      <c r="EZ162" s="403"/>
      <c r="FA162" s="403"/>
      <c r="FB162" s="403"/>
      <c r="FC162" s="403"/>
      <c r="FD162" s="403"/>
      <c r="FE162" s="403"/>
      <c r="FF162" s="403"/>
      <c r="FG162" s="403"/>
      <c r="FH162" s="403"/>
      <c r="FI162" s="403"/>
      <c r="FJ162" s="403"/>
      <c r="FK162" s="403"/>
      <c r="FL162" s="403"/>
      <c r="FM162" s="403"/>
      <c r="FN162" s="403"/>
      <c r="FO162" s="403"/>
      <c r="FP162" s="403"/>
      <c r="FQ162" s="403"/>
      <c r="FR162" s="403"/>
      <c r="FS162" s="403"/>
      <c r="FT162" s="403"/>
      <c r="FU162" s="403"/>
      <c r="FV162" s="403"/>
      <c r="FW162" s="403"/>
      <c r="FX162" s="403"/>
      <c r="FY162" s="403"/>
      <c r="FZ162" s="403"/>
      <c r="GA162" s="403"/>
      <c r="GB162" s="403"/>
      <c r="GC162" s="403"/>
      <c r="GD162" s="403"/>
      <c r="GE162" s="403"/>
      <c r="GF162" s="403"/>
      <c r="GG162" s="403"/>
      <c r="GH162" s="403"/>
      <c r="GI162" s="403"/>
      <c r="GJ162" s="403"/>
      <c r="GK162" s="403"/>
      <c r="GL162" s="403"/>
      <c r="GM162" s="403"/>
      <c r="GN162" s="403"/>
      <c r="GO162" s="403"/>
      <c r="GP162" s="403"/>
      <c r="GQ162" s="403"/>
      <c r="GR162" s="403"/>
      <c r="GS162" s="403"/>
      <c r="GT162" s="403"/>
      <c r="GU162" s="403"/>
      <c r="GV162" s="403"/>
      <c r="GW162" s="403"/>
      <c r="GX162" s="403"/>
      <c r="GY162" s="403"/>
      <c r="GZ162" s="403"/>
      <c r="HA162" s="403"/>
      <c r="HB162" s="403"/>
      <c r="HC162" s="403"/>
      <c r="HD162" s="403"/>
      <c r="HE162" s="403"/>
      <c r="HF162" s="403"/>
      <c r="HG162" s="403"/>
      <c r="HH162" s="403"/>
      <c r="HI162" s="403"/>
      <c r="HJ162" s="403"/>
      <c r="HK162" s="403"/>
      <c r="HL162" s="403"/>
      <c r="HM162" s="403"/>
      <c r="HN162" s="403"/>
      <c r="HO162" s="403"/>
      <c r="HP162" s="403"/>
      <c r="HQ162" s="403"/>
      <c r="HR162" s="403"/>
      <c r="HS162" s="403"/>
      <c r="HT162" s="403"/>
      <c r="HU162" s="403"/>
      <c r="HV162" s="403"/>
      <c r="HW162" s="403"/>
      <c r="HX162" s="403"/>
      <c r="HY162" s="403"/>
      <c r="HZ162" s="403"/>
      <c r="IA162" s="403"/>
      <c r="IB162" s="403"/>
      <c r="IC162" s="403"/>
      <c r="ID162" s="403"/>
      <c r="IE162" s="403"/>
      <c r="IF162" s="403"/>
      <c r="IG162" s="403"/>
      <c r="IH162" s="403"/>
      <c r="II162" s="403"/>
      <c r="IJ162" s="403"/>
      <c r="IK162" s="403"/>
      <c r="IL162" s="403"/>
      <c r="IM162" s="403"/>
      <c r="IN162" s="403"/>
      <c r="IO162" s="403"/>
      <c r="IP162" s="403"/>
      <c r="IQ162" s="403"/>
      <c r="IR162" s="403"/>
      <c r="IS162" s="403"/>
      <c r="IT162" s="403"/>
      <c r="IU162" s="403"/>
      <c r="IV162" s="403"/>
    </row>
    <row r="163" spans="1:256" s="504" customFormat="1" x14ac:dyDescent="0.3">
      <c r="A163" s="500"/>
      <c r="B163" s="501"/>
      <c r="C163" s="501"/>
      <c r="D163" s="501"/>
      <c r="E163" s="501"/>
      <c r="F163" s="501"/>
      <c r="G163" s="501"/>
      <c r="H163" s="501"/>
      <c r="I163" s="501"/>
      <c r="J163" s="501"/>
      <c r="K163" s="501"/>
      <c r="L163" s="501"/>
      <c r="M163" s="501"/>
      <c r="N163" s="502"/>
      <c r="O163" s="501"/>
      <c r="P163" s="503"/>
    </row>
    <row r="164" spans="1:256" s="569" customFormat="1" x14ac:dyDescent="0.3">
      <c r="A164" s="572"/>
      <c r="B164" s="578" t="s">
        <v>55</v>
      </c>
      <c r="C164" s="576"/>
      <c r="D164" s="580"/>
      <c r="E164" s="580"/>
      <c r="F164" s="580"/>
      <c r="G164" s="580"/>
      <c r="H164" s="580"/>
      <c r="I164" s="580"/>
      <c r="J164" s="580"/>
      <c r="K164" s="580" t="s">
        <v>98</v>
      </c>
      <c r="L164" s="580" t="s">
        <v>226</v>
      </c>
      <c r="M164" s="408"/>
      <c r="N164" s="581" t="s">
        <v>114</v>
      </c>
      <c r="O164" s="408"/>
      <c r="P164" s="568"/>
    </row>
    <row r="165" spans="1:256" s="419" customFormat="1" x14ac:dyDescent="0.3">
      <c r="A165" s="427"/>
      <c r="B165" s="428" t="s">
        <v>56</v>
      </c>
      <c r="C165" s="428"/>
      <c r="D165" s="428"/>
      <c r="E165" s="428"/>
      <c r="F165" s="428"/>
      <c r="G165" s="428"/>
      <c r="H165" s="428"/>
      <c r="I165" s="428"/>
      <c r="J165" s="428"/>
      <c r="K165" s="470" t="s">
        <v>117</v>
      </c>
      <c r="L165" s="449" t="s">
        <v>117</v>
      </c>
      <c r="M165" s="428"/>
      <c r="N165" s="470"/>
      <c r="O165" s="430"/>
      <c r="P165" s="418"/>
    </row>
    <row r="166" spans="1:256" s="419" customFormat="1" x14ac:dyDescent="0.3">
      <c r="A166" s="427"/>
      <c r="B166" s="428" t="s">
        <v>57</v>
      </c>
      <c r="C166" s="428"/>
      <c r="D166" s="428"/>
      <c r="E166" s="428"/>
      <c r="F166" s="428"/>
      <c r="G166" s="428"/>
      <c r="H166" s="428"/>
      <c r="I166" s="428"/>
      <c r="J166" s="428"/>
      <c r="K166" s="470">
        <v>0</v>
      </c>
      <c r="L166" s="470">
        <f>+'Feb 18'!L168</f>
        <v>19642</v>
      </c>
      <c r="M166" s="428"/>
      <c r="N166" s="470">
        <f>K166+L166</f>
        <v>19642</v>
      </c>
      <c r="O166" s="430"/>
      <c r="P166" s="418"/>
    </row>
    <row r="167" spans="1:256" s="419" customFormat="1" x14ac:dyDescent="0.3">
      <c r="A167" s="427"/>
      <c r="B167" s="428" t="s">
        <v>58</v>
      </c>
      <c r="C167" s="428"/>
      <c r="D167" s="428"/>
      <c r="E167" s="428"/>
      <c r="F167" s="428"/>
      <c r="G167" s="428"/>
      <c r="H167" s="428"/>
      <c r="I167" s="428"/>
      <c r="J167" s="428"/>
      <c r="K167" s="469">
        <v>0</v>
      </c>
      <c r="L167" s="469">
        <f>-L107</f>
        <v>0</v>
      </c>
      <c r="M167" s="428"/>
      <c r="N167" s="470">
        <f>K167+L167</f>
        <v>0</v>
      </c>
      <c r="O167" s="430"/>
      <c r="P167" s="418"/>
    </row>
    <row r="168" spans="1:256" s="419" customFormat="1" x14ac:dyDescent="0.3">
      <c r="A168" s="427"/>
      <c r="B168" s="428" t="s">
        <v>59</v>
      </c>
      <c r="C168" s="428"/>
      <c r="D168" s="428"/>
      <c r="E168" s="428"/>
      <c r="F168" s="428"/>
      <c r="G168" s="428"/>
      <c r="H168" s="428"/>
      <c r="I168" s="428"/>
      <c r="J168" s="428"/>
      <c r="K168" s="470">
        <f>K166+K167</f>
        <v>0</v>
      </c>
      <c r="L168" s="470">
        <f>L167+L166</f>
        <v>19642</v>
      </c>
      <c r="M168" s="428"/>
      <c r="N168" s="470">
        <f>K168+L168</f>
        <v>19642</v>
      </c>
      <c r="O168" s="430"/>
      <c r="P168" s="418"/>
    </row>
    <row r="169" spans="1:256" s="419" customFormat="1" x14ac:dyDescent="0.3">
      <c r="A169" s="427"/>
      <c r="B169" s="428" t="s">
        <v>60</v>
      </c>
      <c r="C169" s="428"/>
      <c r="D169" s="428"/>
      <c r="E169" s="428"/>
      <c r="F169" s="428"/>
      <c r="G169" s="428"/>
      <c r="H169" s="428"/>
      <c r="I169" s="428"/>
      <c r="J169" s="428"/>
      <c r="K169" s="470" t="s">
        <v>117</v>
      </c>
      <c r="L169" s="449" t="s">
        <v>117</v>
      </c>
      <c r="M169" s="428"/>
      <c r="N169" s="470"/>
      <c r="O169" s="430"/>
      <c r="P169" s="418"/>
    </row>
    <row r="170" spans="1:256" ht="16.2" thickBot="1" x14ac:dyDescent="0.35">
      <c r="A170" s="404"/>
      <c r="B170" s="471"/>
      <c r="C170" s="471"/>
      <c r="D170" s="471"/>
      <c r="E170" s="471"/>
      <c r="F170" s="471"/>
      <c r="G170" s="471"/>
      <c r="H170" s="471"/>
      <c r="I170" s="471"/>
      <c r="J170" s="471"/>
      <c r="K170" s="471"/>
      <c r="L170" s="471"/>
      <c r="M170" s="471"/>
      <c r="N170" s="488"/>
      <c r="O170" s="471"/>
      <c r="P170" s="402"/>
    </row>
    <row r="171" spans="1:256" x14ac:dyDescent="0.3">
      <c r="A171" s="399"/>
      <c r="B171" s="401"/>
      <c r="C171" s="401"/>
      <c r="D171" s="401"/>
      <c r="E171" s="401"/>
      <c r="F171" s="401"/>
      <c r="G171" s="401"/>
      <c r="H171" s="401"/>
      <c r="I171" s="401"/>
      <c r="J171" s="401"/>
      <c r="K171" s="401"/>
      <c r="L171" s="401"/>
      <c r="M171" s="401"/>
      <c r="N171" s="491"/>
      <c r="O171" s="401"/>
      <c r="P171" s="402"/>
    </row>
    <row r="172" spans="1:256" x14ac:dyDescent="0.3">
      <c r="A172" s="404"/>
      <c r="B172" s="578" t="s">
        <v>61</v>
      </c>
      <c r="C172" s="406"/>
      <c r="D172" s="406"/>
      <c r="E172" s="406"/>
      <c r="F172" s="406"/>
      <c r="G172" s="406"/>
      <c r="H172" s="406"/>
      <c r="I172" s="406"/>
      <c r="J172" s="406"/>
      <c r="K172" s="406"/>
      <c r="L172" s="406"/>
      <c r="M172" s="406"/>
      <c r="N172" s="505"/>
      <c r="O172" s="406"/>
      <c r="P172" s="402"/>
    </row>
    <row r="173" spans="1:256" s="419" customFormat="1" x14ac:dyDescent="0.3">
      <c r="A173" s="427"/>
      <c r="B173" s="428" t="s">
        <v>62</v>
      </c>
      <c r="C173" s="428"/>
      <c r="D173" s="428"/>
      <c r="E173" s="428"/>
      <c r="F173" s="428"/>
      <c r="G173" s="428"/>
      <c r="H173" s="428"/>
      <c r="I173" s="428"/>
      <c r="J173" s="428"/>
      <c r="K173" s="428"/>
      <c r="L173" s="428"/>
      <c r="M173" s="428"/>
      <c r="N173" s="489">
        <f>(N87+N89+N90+N91+N92)/-N93</f>
        <v>4.9130434782608692</v>
      </c>
      <c r="O173" s="430" t="s">
        <v>115</v>
      </c>
      <c r="P173" s="418"/>
    </row>
    <row r="174" spans="1:256" s="419" customFormat="1" x14ac:dyDescent="0.3">
      <c r="A174" s="427"/>
      <c r="B174" s="428" t="s">
        <v>63</v>
      </c>
      <c r="C174" s="428"/>
      <c r="D174" s="428"/>
      <c r="E174" s="428"/>
      <c r="F174" s="428"/>
      <c r="G174" s="428"/>
      <c r="H174" s="428"/>
      <c r="I174" s="428"/>
      <c r="J174" s="428"/>
      <c r="K174" s="428"/>
      <c r="L174" s="428"/>
      <c r="M174" s="428"/>
      <c r="N174" s="506">
        <v>2.2400000000000002</v>
      </c>
      <c r="O174" s="430" t="s">
        <v>115</v>
      </c>
      <c r="P174" s="418"/>
    </row>
    <row r="175" spans="1:256" s="419" customFormat="1" x14ac:dyDescent="0.3">
      <c r="A175" s="427"/>
      <c r="B175" s="428" t="s">
        <v>64</v>
      </c>
      <c r="C175" s="428"/>
      <c r="D175" s="428"/>
      <c r="E175" s="428"/>
      <c r="F175" s="428"/>
      <c r="G175" s="428"/>
      <c r="H175" s="428"/>
      <c r="I175" s="428"/>
      <c r="J175" s="428"/>
      <c r="K175" s="428"/>
      <c r="L175" s="428"/>
      <c r="M175" s="428"/>
      <c r="N175" s="489">
        <f>(N87+N89+N90+N91+N92+N93)/-N95</f>
        <v>22.5</v>
      </c>
      <c r="O175" s="430" t="s">
        <v>115</v>
      </c>
      <c r="P175" s="418"/>
    </row>
    <row r="176" spans="1:256" s="419" customFormat="1" x14ac:dyDescent="0.3">
      <c r="A176" s="427"/>
      <c r="B176" s="428" t="s">
        <v>65</v>
      </c>
      <c r="C176" s="428"/>
      <c r="D176" s="428"/>
      <c r="E176" s="428"/>
      <c r="F176" s="428"/>
      <c r="G176" s="428"/>
      <c r="H176" s="428"/>
      <c r="I176" s="428"/>
      <c r="J176" s="428"/>
      <c r="K176" s="428"/>
      <c r="L176" s="428"/>
      <c r="M176" s="428"/>
      <c r="N176" s="506">
        <v>51.27</v>
      </c>
      <c r="O176" s="430" t="s">
        <v>115</v>
      </c>
      <c r="P176" s="418"/>
    </row>
    <row r="177" spans="1:16" s="419" customFormat="1" x14ac:dyDescent="0.3">
      <c r="A177" s="427"/>
      <c r="B177" s="428" t="s">
        <v>166</v>
      </c>
      <c r="C177" s="428"/>
      <c r="D177" s="428"/>
      <c r="E177" s="428"/>
      <c r="F177" s="428"/>
      <c r="G177" s="428"/>
      <c r="H177" s="428"/>
      <c r="I177" s="428"/>
      <c r="J177" s="428"/>
      <c r="K177" s="428"/>
      <c r="L177" s="428"/>
      <c r="M177" s="428"/>
      <c r="N177" s="489">
        <f>(N87+N89+N90+N91+N92+N93+N95)/-N96</f>
        <v>17.2</v>
      </c>
      <c r="O177" s="430" t="s">
        <v>115</v>
      </c>
      <c r="P177" s="418"/>
    </row>
    <row r="178" spans="1:16" s="419" customFormat="1" x14ac:dyDescent="0.3">
      <c r="A178" s="427"/>
      <c r="B178" s="428" t="s">
        <v>167</v>
      </c>
      <c r="C178" s="428"/>
      <c r="D178" s="428"/>
      <c r="E178" s="428"/>
      <c r="F178" s="428"/>
      <c r="G178" s="428"/>
      <c r="H178" s="428"/>
      <c r="I178" s="428"/>
      <c r="J178" s="428"/>
      <c r="K178" s="428"/>
      <c r="L178" s="428"/>
      <c r="M178" s="428"/>
      <c r="N178" s="506">
        <v>47.95</v>
      </c>
      <c r="O178" s="430" t="s">
        <v>115</v>
      </c>
      <c r="P178" s="418"/>
    </row>
    <row r="179" spans="1:16" s="419" customFormat="1" x14ac:dyDescent="0.3">
      <c r="A179" s="507"/>
      <c r="B179" s="508"/>
      <c r="C179" s="508"/>
      <c r="D179" s="508"/>
      <c r="E179" s="508"/>
      <c r="F179" s="508"/>
      <c r="G179" s="508"/>
      <c r="H179" s="508"/>
      <c r="I179" s="508"/>
      <c r="J179" s="508"/>
      <c r="K179" s="508"/>
      <c r="L179" s="508"/>
      <c r="M179" s="508"/>
      <c r="N179" s="508"/>
      <c r="O179" s="509"/>
      <c r="P179" s="418"/>
    </row>
    <row r="180" spans="1:16" s="419" customFormat="1" x14ac:dyDescent="0.3">
      <c r="A180" s="415"/>
      <c r="B180" s="458"/>
      <c r="C180" s="458"/>
      <c r="D180" s="458"/>
      <c r="E180" s="458"/>
      <c r="F180" s="458"/>
      <c r="G180" s="458"/>
      <c r="H180" s="458"/>
      <c r="I180" s="458"/>
      <c r="J180" s="458"/>
      <c r="K180" s="458"/>
      <c r="L180" s="458"/>
      <c r="M180" s="458"/>
      <c r="N180" s="458"/>
      <c r="O180" s="458"/>
      <c r="P180" s="418"/>
    </row>
    <row r="181" spans="1:16" s="419" customFormat="1" x14ac:dyDescent="0.3">
      <c r="A181" s="415"/>
      <c r="B181" s="416"/>
      <c r="C181" s="416"/>
      <c r="D181" s="416"/>
      <c r="E181" s="416"/>
      <c r="F181" s="416"/>
      <c r="G181" s="416"/>
      <c r="H181" s="416"/>
      <c r="I181" s="416"/>
      <c r="J181" s="416"/>
      <c r="K181" s="416"/>
      <c r="L181" s="416"/>
      <c r="M181" s="416"/>
      <c r="N181" s="416"/>
      <c r="O181" s="416"/>
      <c r="P181" s="418"/>
    </row>
    <row r="182" spans="1:16" s="419" customFormat="1" ht="18.600000000000001" thickBot="1" x14ac:dyDescent="0.4">
      <c r="A182" s="463"/>
      <c r="B182" s="464" t="str">
        <f>B115</f>
        <v>FF7 INVESTOR REPORT QUARTER ENDING MAY 2018</v>
      </c>
      <c r="C182" s="465"/>
      <c r="D182" s="465"/>
      <c r="E182" s="465"/>
      <c r="F182" s="465"/>
      <c r="G182" s="465"/>
      <c r="H182" s="465"/>
      <c r="I182" s="465"/>
      <c r="J182" s="465"/>
      <c r="K182" s="465"/>
      <c r="L182" s="465"/>
      <c r="M182" s="465"/>
      <c r="N182" s="465"/>
      <c r="O182" s="467"/>
      <c r="P182" s="418"/>
    </row>
    <row r="183" spans="1:16" x14ac:dyDescent="0.3">
      <c r="A183" s="603"/>
      <c r="B183" s="604" t="s">
        <v>66</v>
      </c>
      <c r="C183" s="607"/>
      <c r="D183" s="608"/>
      <c r="E183" s="608"/>
      <c r="F183" s="608"/>
      <c r="G183" s="608"/>
      <c r="H183" s="608"/>
      <c r="I183" s="608"/>
      <c r="J183" s="608"/>
      <c r="K183" s="608"/>
      <c r="L183" s="608">
        <v>43251</v>
      </c>
      <c r="M183" s="605"/>
      <c r="N183" s="605"/>
      <c r="O183" s="605"/>
      <c r="P183" s="402"/>
    </row>
    <row r="184" spans="1:16" x14ac:dyDescent="0.3">
      <c r="A184" s="510"/>
      <c r="B184" s="511"/>
      <c r="C184" s="512"/>
      <c r="D184" s="513"/>
      <c r="E184" s="513"/>
      <c r="F184" s="513"/>
      <c r="G184" s="513"/>
      <c r="H184" s="513"/>
      <c r="I184" s="513"/>
      <c r="J184" s="513"/>
      <c r="K184" s="513"/>
      <c r="L184" s="513"/>
      <c r="M184" s="478"/>
      <c r="N184" s="478"/>
      <c r="O184" s="478"/>
      <c r="P184" s="402"/>
    </row>
    <row r="185" spans="1:16" s="419" customFormat="1" x14ac:dyDescent="0.3">
      <c r="A185" s="427"/>
      <c r="B185" s="428" t="s">
        <v>67</v>
      </c>
      <c r="C185" s="514"/>
      <c r="D185" s="452"/>
      <c r="E185" s="452"/>
      <c r="F185" s="452"/>
      <c r="G185" s="452"/>
      <c r="H185" s="452"/>
      <c r="I185" s="452"/>
      <c r="J185" s="452"/>
      <c r="K185" s="452"/>
      <c r="L185" s="446">
        <v>7.2950000000000001E-2</v>
      </c>
      <c r="M185" s="428"/>
      <c r="N185" s="428"/>
      <c r="O185" s="430"/>
      <c r="P185" s="418"/>
    </row>
    <row r="186" spans="1:16" s="419" customFormat="1" x14ac:dyDescent="0.3">
      <c r="A186" s="427"/>
      <c r="B186" s="428" t="s">
        <v>213</v>
      </c>
      <c r="C186" s="514"/>
      <c r="D186" s="452"/>
      <c r="E186" s="452"/>
      <c r="F186" s="452"/>
      <c r="G186" s="452"/>
      <c r="H186" s="452"/>
      <c r="I186" s="452"/>
      <c r="J186" s="452"/>
      <c r="K186" s="452"/>
      <c r="L186" s="446">
        <v>5.79E-2</v>
      </c>
      <c r="M186" s="428"/>
      <c r="N186" s="428"/>
      <c r="O186" s="430"/>
      <c r="P186" s="418"/>
    </row>
    <row r="187" spans="1:16" s="419" customFormat="1" x14ac:dyDescent="0.3">
      <c r="A187" s="427"/>
      <c r="B187" s="428" t="s">
        <v>68</v>
      </c>
      <c r="C187" s="514"/>
      <c r="D187" s="452"/>
      <c r="E187" s="452"/>
      <c r="F187" s="452"/>
      <c r="G187" s="452"/>
      <c r="H187" s="452"/>
      <c r="I187" s="452"/>
      <c r="J187" s="452"/>
      <c r="K187" s="452"/>
      <c r="L187" s="446">
        <f>L185-L186</f>
        <v>1.5050000000000001E-2</v>
      </c>
      <c r="M187" s="428"/>
      <c r="N187" s="428"/>
      <c r="O187" s="430"/>
      <c r="P187" s="418"/>
    </row>
    <row r="188" spans="1:16" s="419" customFormat="1" x14ac:dyDescent="0.3">
      <c r="A188" s="427"/>
      <c r="B188" s="428" t="s">
        <v>69</v>
      </c>
      <c r="C188" s="514"/>
      <c r="D188" s="452"/>
      <c r="E188" s="452"/>
      <c r="F188" s="452"/>
      <c r="G188" s="452"/>
      <c r="H188" s="452"/>
      <c r="I188" s="452"/>
      <c r="J188" s="452"/>
      <c r="K188" s="452"/>
      <c r="L188" s="446">
        <v>4.2049999999999997E-2</v>
      </c>
      <c r="M188" s="428"/>
      <c r="N188" s="428"/>
      <c r="O188" s="430"/>
      <c r="P188" s="418"/>
    </row>
    <row r="189" spans="1:16" s="419" customFormat="1" x14ac:dyDescent="0.3">
      <c r="A189" s="427"/>
      <c r="B189" s="428" t="s">
        <v>212</v>
      </c>
      <c r="C189" s="514"/>
      <c r="D189" s="452"/>
      <c r="E189" s="452"/>
      <c r="F189" s="452"/>
      <c r="G189" s="452"/>
      <c r="H189" s="452"/>
      <c r="I189" s="452"/>
      <c r="J189" s="452"/>
      <c r="K189" s="452"/>
      <c r="L189" s="446">
        <f>N34</f>
        <v>8.9686059810733017E-3</v>
      </c>
      <c r="M189" s="428"/>
      <c r="N189" s="428"/>
      <c r="O189" s="430"/>
      <c r="P189" s="418"/>
    </row>
    <row r="190" spans="1:16" s="419" customFormat="1" x14ac:dyDescent="0.3">
      <c r="A190" s="427"/>
      <c r="B190" s="428" t="s">
        <v>70</v>
      </c>
      <c r="C190" s="514"/>
      <c r="D190" s="452"/>
      <c r="E190" s="452"/>
      <c r="F190" s="452"/>
      <c r="G190" s="452"/>
      <c r="H190" s="452"/>
      <c r="I190" s="452"/>
      <c r="J190" s="452"/>
      <c r="K190" s="452"/>
      <c r="L190" s="446">
        <f>L188-L189</f>
        <v>3.3081394018926694E-2</v>
      </c>
      <c r="M190" s="428"/>
      <c r="N190" s="428"/>
      <c r="O190" s="430"/>
      <c r="P190" s="418"/>
    </row>
    <row r="191" spans="1:16" s="419" customFormat="1" x14ac:dyDescent="0.3">
      <c r="A191" s="427"/>
      <c r="B191" s="428" t="s">
        <v>203</v>
      </c>
      <c r="C191" s="514"/>
      <c r="D191" s="452"/>
      <c r="E191" s="452"/>
      <c r="F191" s="452"/>
      <c r="G191" s="452"/>
      <c r="H191" s="452"/>
      <c r="I191" s="452"/>
      <c r="J191" s="452"/>
      <c r="K191" s="452"/>
      <c r="L191" s="446">
        <f>+N87/F59</f>
        <v>1.1261911637308691E-2</v>
      </c>
      <c r="M191" s="428"/>
      <c r="N191" s="428"/>
      <c r="O191" s="430"/>
      <c r="P191" s="418"/>
    </row>
    <row r="192" spans="1:16" s="419" customFormat="1" x14ac:dyDescent="0.3">
      <c r="A192" s="427"/>
      <c r="B192" s="428" t="s">
        <v>171</v>
      </c>
      <c r="C192" s="514"/>
      <c r="D192" s="452"/>
      <c r="E192" s="452"/>
      <c r="F192" s="452"/>
      <c r="G192" s="452"/>
      <c r="H192" s="452"/>
      <c r="I192" s="452"/>
      <c r="J192" s="452"/>
      <c r="K192" s="452"/>
      <c r="L192" s="515">
        <v>48823</v>
      </c>
      <c r="M192" s="428"/>
      <c r="N192" s="428"/>
      <c r="O192" s="430"/>
      <c r="P192" s="418"/>
    </row>
    <row r="193" spans="1:16" s="419" customFormat="1" x14ac:dyDescent="0.3">
      <c r="A193" s="427"/>
      <c r="B193" s="428" t="s">
        <v>172</v>
      </c>
      <c r="C193" s="514"/>
      <c r="D193" s="452"/>
      <c r="E193" s="452"/>
      <c r="F193" s="452"/>
      <c r="G193" s="452"/>
      <c r="H193" s="452"/>
      <c r="I193" s="452"/>
      <c r="J193" s="452"/>
      <c r="K193" s="452"/>
      <c r="L193" s="515">
        <v>48823</v>
      </c>
      <c r="M193" s="428"/>
      <c r="N193" s="428"/>
      <c r="O193" s="430"/>
      <c r="P193" s="418"/>
    </row>
    <row r="194" spans="1:16" s="419" customFormat="1" x14ac:dyDescent="0.3">
      <c r="A194" s="427"/>
      <c r="B194" s="428" t="s">
        <v>173</v>
      </c>
      <c r="C194" s="514"/>
      <c r="D194" s="452"/>
      <c r="E194" s="452"/>
      <c r="F194" s="452"/>
      <c r="G194" s="452"/>
      <c r="H194" s="452"/>
      <c r="I194" s="452"/>
      <c r="J194" s="452"/>
      <c r="K194" s="452"/>
      <c r="L194" s="515">
        <v>48823</v>
      </c>
      <c r="M194" s="428"/>
      <c r="N194" s="428"/>
      <c r="O194" s="430"/>
      <c r="P194" s="418"/>
    </row>
    <row r="195" spans="1:16" s="419" customFormat="1" x14ac:dyDescent="0.3">
      <c r="A195" s="427"/>
      <c r="B195" s="428" t="s">
        <v>71</v>
      </c>
      <c r="C195" s="514"/>
      <c r="D195" s="452"/>
      <c r="E195" s="452"/>
      <c r="F195" s="452"/>
      <c r="G195" s="452"/>
      <c r="H195" s="452"/>
      <c r="I195" s="452"/>
      <c r="J195" s="452"/>
      <c r="K195" s="452"/>
      <c r="L195" s="450">
        <v>9.93</v>
      </c>
      <c r="M195" s="428" t="s">
        <v>110</v>
      </c>
      <c r="N195" s="428"/>
      <c r="O195" s="430"/>
      <c r="P195" s="418"/>
    </row>
    <row r="196" spans="1:16" s="419" customFormat="1" x14ac:dyDescent="0.3">
      <c r="A196" s="427"/>
      <c r="B196" s="428" t="s">
        <v>72</v>
      </c>
      <c r="C196" s="514"/>
      <c r="D196" s="452"/>
      <c r="E196" s="452"/>
      <c r="F196" s="452"/>
      <c r="G196" s="452"/>
      <c r="H196" s="452"/>
      <c r="I196" s="452"/>
      <c r="J196" s="452"/>
      <c r="K196" s="452"/>
      <c r="L196" s="450">
        <v>4.0999999999999996</v>
      </c>
      <c r="M196" s="428" t="s">
        <v>110</v>
      </c>
      <c r="N196" s="428"/>
      <c r="O196" s="430"/>
      <c r="P196" s="418"/>
    </row>
    <row r="197" spans="1:16" s="419" customFormat="1" x14ac:dyDescent="0.3">
      <c r="A197" s="427"/>
      <c r="B197" s="428" t="s">
        <v>73</v>
      </c>
      <c r="C197" s="514"/>
      <c r="D197" s="452"/>
      <c r="E197" s="452"/>
      <c r="F197" s="452"/>
      <c r="G197" s="452"/>
      <c r="H197" s="452"/>
      <c r="I197" s="452"/>
      <c r="J197" s="452"/>
      <c r="K197" s="452"/>
      <c r="L197" s="446">
        <f>+H56/F56</f>
        <v>5.6147986942328615E-2</v>
      </c>
      <c r="M197" s="428"/>
      <c r="N197" s="428"/>
      <c r="O197" s="430"/>
      <c r="P197" s="418"/>
    </row>
    <row r="198" spans="1:16" s="419" customFormat="1" x14ac:dyDescent="0.3">
      <c r="A198" s="427"/>
      <c r="B198" s="428" t="s">
        <v>74</v>
      </c>
      <c r="C198" s="514"/>
      <c r="D198" s="452"/>
      <c r="E198" s="452"/>
      <c r="F198" s="452"/>
      <c r="G198" s="452"/>
      <c r="H198" s="452"/>
      <c r="I198" s="452"/>
      <c r="J198" s="452"/>
      <c r="K198" s="452"/>
      <c r="L198" s="446">
        <v>0.26819999999999999</v>
      </c>
      <c r="M198" s="428"/>
      <c r="N198" s="428"/>
      <c r="O198" s="430"/>
      <c r="P198" s="418"/>
    </row>
    <row r="199" spans="1:16" x14ac:dyDescent="0.3">
      <c r="A199" s="510"/>
      <c r="B199" s="476"/>
      <c r="C199" s="476"/>
      <c r="D199" s="476"/>
      <c r="E199" s="476"/>
      <c r="F199" s="476"/>
      <c r="G199" s="476"/>
      <c r="H199" s="476"/>
      <c r="I199" s="476"/>
      <c r="J199" s="476"/>
      <c r="K199" s="476"/>
      <c r="L199" s="516"/>
      <c r="M199" s="476"/>
      <c r="N199" s="517"/>
      <c r="O199" s="476"/>
      <c r="P199" s="402"/>
    </row>
    <row r="200" spans="1:16" x14ac:dyDescent="0.3">
      <c r="A200" s="609"/>
      <c r="B200" s="599" t="s">
        <v>75</v>
      </c>
      <c r="C200" s="601"/>
      <c r="D200" s="601"/>
      <c r="E200" s="601"/>
      <c r="F200" s="601"/>
      <c r="G200" s="601"/>
      <c r="H200" s="601"/>
      <c r="I200" s="601"/>
      <c r="J200" s="601"/>
      <c r="K200" s="601" t="s">
        <v>99</v>
      </c>
      <c r="L200" s="615" t="s">
        <v>106</v>
      </c>
      <c r="M200" s="591"/>
      <c r="N200" s="591"/>
      <c r="O200" s="594"/>
      <c r="P200" s="402"/>
    </row>
    <row r="201" spans="1:16" s="419" customFormat="1" x14ac:dyDescent="0.3">
      <c r="A201" s="610"/>
      <c r="B201" s="588" t="s">
        <v>76</v>
      </c>
      <c r="C201" s="597"/>
      <c r="D201" s="611"/>
      <c r="E201" s="611"/>
      <c r="F201" s="611"/>
      <c r="G201" s="611"/>
      <c r="H201" s="611"/>
      <c r="I201" s="611"/>
      <c r="J201" s="611"/>
      <c r="K201" s="611">
        <v>5</v>
      </c>
      <c r="L201" s="612">
        <v>349</v>
      </c>
      <c r="M201" s="588"/>
      <c r="N201" s="613"/>
      <c r="O201" s="614"/>
      <c r="P201" s="418"/>
    </row>
    <row r="202" spans="1:16" s="419" customFormat="1" x14ac:dyDescent="0.3">
      <c r="A202" s="518"/>
      <c r="B202" s="428" t="s">
        <v>136</v>
      </c>
      <c r="C202" s="469"/>
      <c r="D202" s="434"/>
      <c r="E202" s="434"/>
      <c r="F202" s="434"/>
      <c r="G202" s="434"/>
      <c r="H202" s="434"/>
      <c r="I202" s="434"/>
      <c r="J202" s="434"/>
      <c r="K202" s="522">
        <f>+J269</f>
        <v>0</v>
      </c>
      <c r="L202" s="519">
        <f>+L269</f>
        <v>0</v>
      </c>
      <c r="M202" s="428"/>
      <c r="N202" s="520"/>
      <c r="O202" s="521"/>
      <c r="P202" s="418"/>
    </row>
    <row r="203" spans="1:16" s="419" customFormat="1" x14ac:dyDescent="0.3">
      <c r="A203" s="518"/>
      <c r="B203" s="428" t="s">
        <v>77</v>
      </c>
      <c r="C203" s="469"/>
      <c r="D203" s="434"/>
      <c r="E203" s="434"/>
      <c r="F203" s="434"/>
      <c r="G203" s="434"/>
      <c r="H203" s="434"/>
      <c r="I203" s="434"/>
      <c r="J203" s="434"/>
      <c r="K203" s="522">
        <f>+J286</f>
        <v>1</v>
      </c>
      <c r="L203" s="519">
        <f>+L286</f>
        <v>110</v>
      </c>
      <c r="M203" s="428"/>
      <c r="N203" s="520"/>
      <c r="O203" s="521"/>
      <c r="P203" s="418"/>
    </row>
    <row r="204" spans="1:16" x14ac:dyDescent="0.3">
      <c r="A204" s="523"/>
      <c r="B204" s="562" t="s">
        <v>78</v>
      </c>
      <c r="C204" s="524"/>
      <c r="D204" s="443"/>
      <c r="E204" s="443"/>
      <c r="F204" s="443"/>
      <c r="G204" s="443"/>
      <c r="H204" s="443"/>
      <c r="I204" s="443"/>
      <c r="J204" s="443"/>
      <c r="K204" s="443"/>
      <c r="L204" s="519">
        <v>0</v>
      </c>
      <c r="M204" s="443"/>
      <c r="N204" s="525"/>
      <c r="O204" s="526"/>
      <c r="P204" s="402"/>
    </row>
    <row r="205" spans="1:16" x14ac:dyDescent="0.3">
      <c r="A205" s="523"/>
      <c r="B205" s="562" t="s">
        <v>79</v>
      </c>
      <c r="C205" s="524"/>
      <c r="D205" s="443"/>
      <c r="E205" s="443"/>
      <c r="F205" s="443"/>
      <c r="G205" s="443"/>
      <c r="H205" s="443"/>
      <c r="I205" s="443"/>
      <c r="J205" s="443"/>
      <c r="K205" s="443"/>
      <c r="L205" s="527" t="s">
        <v>107</v>
      </c>
      <c r="M205" s="443"/>
      <c r="N205" s="525"/>
      <c r="O205" s="526"/>
      <c r="P205" s="402"/>
    </row>
    <row r="206" spans="1:16" x14ac:dyDescent="0.3">
      <c r="A206" s="528"/>
      <c r="B206" s="562" t="s">
        <v>80</v>
      </c>
      <c r="C206" s="529"/>
      <c r="D206" s="443"/>
      <c r="E206" s="443"/>
      <c r="F206" s="443"/>
      <c r="G206" s="443"/>
      <c r="H206" s="443"/>
      <c r="I206" s="443"/>
      <c r="J206" s="443"/>
      <c r="K206" s="443"/>
      <c r="L206" s="530"/>
      <c r="M206" s="443"/>
      <c r="N206" s="525"/>
      <c r="O206" s="531"/>
      <c r="P206" s="402"/>
    </row>
    <row r="207" spans="1:16" s="419" customFormat="1" x14ac:dyDescent="0.3">
      <c r="A207" s="532"/>
      <c r="B207" s="428" t="s">
        <v>81</v>
      </c>
      <c r="C207" s="428"/>
      <c r="D207" s="428"/>
      <c r="E207" s="428"/>
      <c r="F207" s="428"/>
      <c r="G207" s="428"/>
      <c r="H207" s="428"/>
      <c r="I207" s="428"/>
      <c r="J207" s="428"/>
      <c r="K207" s="434"/>
      <c r="L207" s="519">
        <f>N144</f>
        <v>0</v>
      </c>
      <c r="M207" s="428"/>
      <c r="N207" s="520"/>
      <c r="O207" s="533"/>
      <c r="P207" s="418"/>
    </row>
    <row r="208" spans="1:16" s="419" customFormat="1" x14ac:dyDescent="0.3">
      <c r="A208" s="518"/>
      <c r="B208" s="428" t="s">
        <v>82</v>
      </c>
      <c r="C208" s="469"/>
      <c r="D208" s="428"/>
      <c r="E208" s="428"/>
      <c r="F208" s="428"/>
      <c r="G208" s="428"/>
      <c r="H208" s="428"/>
      <c r="I208" s="428"/>
      <c r="J208" s="428"/>
      <c r="K208" s="434"/>
      <c r="L208" s="519">
        <f>'Feb 18'!L208+L207</f>
        <v>216</v>
      </c>
      <c r="M208" s="428"/>
      <c r="N208" s="520"/>
      <c r="O208" s="533"/>
      <c r="P208" s="418"/>
    </row>
    <row r="209" spans="1:17" x14ac:dyDescent="0.3">
      <c r="A209" s="528"/>
      <c r="B209" s="562" t="s">
        <v>253</v>
      </c>
      <c r="C209" s="529"/>
      <c r="D209" s="443"/>
      <c r="E209" s="443"/>
      <c r="F209" s="443"/>
      <c r="G209" s="443"/>
      <c r="H209" s="443"/>
      <c r="I209" s="443"/>
      <c r="J209" s="443"/>
      <c r="K209" s="444"/>
      <c r="L209" s="530"/>
      <c r="M209" s="443"/>
      <c r="N209" s="525"/>
      <c r="O209" s="531"/>
      <c r="P209" s="402"/>
    </row>
    <row r="210" spans="1:17" s="419" customFormat="1" x14ac:dyDescent="0.3">
      <c r="A210" s="532"/>
      <c r="B210" s="428" t="s">
        <v>250</v>
      </c>
      <c r="C210" s="428"/>
      <c r="D210" s="428"/>
      <c r="E210" s="428"/>
      <c r="F210" s="428"/>
      <c r="G210" s="428"/>
      <c r="H210" s="428"/>
      <c r="I210" s="428"/>
      <c r="J210" s="428"/>
      <c r="K210" s="434">
        <v>0</v>
      </c>
      <c r="L210" s="519">
        <v>0</v>
      </c>
      <c r="M210" s="428"/>
      <c r="N210" s="520"/>
      <c r="O210" s="533"/>
      <c r="P210" s="418"/>
    </row>
    <row r="211" spans="1:17" s="419" customFormat="1" x14ac:dyDescent="0.3">
      <c r="A211" s="518"/>
      <c r="B211" s="428" t="s">
        <v>83</v>
      </c>
      <c r="C211" s="449"/>
      <c r="D211" s="428"/>
      <c r="E211" s="428"/>
      <c r="F211" s="428"/>
      <c r="G211" s="428"/>
      <c r="H211" s="428"/>
      <c r="I211" s="428"/>
      <c r="J211" s="428"/>
      <c r="K211" s="428"/>
      <c r="L211" s="527">
        <v>0</v>
      </c>
      <c r="M211" s="428"/>
      <c r="N211" s="520"/>
      <c r="O211" s="533"/>
      <c r="P211" s="418"/>
    </row>
    <row r="212" spans="1:17" s="419" customFormat="1" x14ac:dyDescent="0.3">
      <c r="A212" s="518"/>
      <c r="B212" s="428" t="s">
        <v>84</v>
      </c>
      <c r="C212" s="449"/>
      <c r="D212" s="428"/>
      <c r="E212" s="428"/>
      <c r="F212" s="428"/>
      <c r="G212" s="428"/>
      <c r="H212" s="428"/>
      <c r="I212" s="428"/>
      <c r="J212" s="428"/>
      <c r="K212" s="428"/>
      <c r="L212" s="527">
        <v>0</v>
      </c>
      <c r="M212" s="428"/>
      <c r="N212" s="520"/>
      <c r="O212" s="533"/>
      <c r="P212" s="418"/>
    </row>
    <row r="213" spans="1:17" x14ac:dyDescent="0.3">
      <c r="A213" s="523"/>
      <c r="B213" s="562" t="s">
        <v>177</v>
      </c>
      <c r="C213" s="534"/>
      <c r="D213" s="443"/>
      <c r="E213" s="443"/>
      <c r="F213" s="443"/>
      <c r="G213" s="443"/>
      <c r="H213" s="443"/>
      <c r="I213" s="443"/>
      <c r="J213" s="443"/>
      <c r="K213" s="443"/>
      <c r="L213" s="535"/>
      <c r="M213" s="443"/>
      <c r="N213" s="525"/>
      <c r="O213" s="531"/>
      <c r="P213" s="402"/>
    </row>
    <row r="214" spans="1:17" s="419" customFormat="1" x14ac:dyDescent="0.3">
      <c r="A214" s="518"/>
      <c r="B214" s="428" t="s">
        <v>250</v>
      </c>
      <c r="C214" s="449"/>
      <c r="D214" s="428"/>
      <c r="E214" s="428"/>
      <c r="F214" s="428"/>
      <c r="G214" s="428"/>
      <c r="H214" s="428"/>
      <c r="I214" s="428"/>
      <c r="J214" s="428"/>
      <c r="K214" s="434">
        <v>0</v>
      </c>
      <c r="L214" s="519">
        <v>0</v>
      </c>
      <c r="M214" s="428"/>
      <c r="N214" s="520"/>
      <c r="O214" s="533"/>
      <c r="P214" s="418"/>
    </row>
    <row r="215" spans="1:17" s="419" customFormat="1" x14ac:dyDescent="0.3">
      <c r="A215" s="518"/>
      <c r="B215" s="428" t="s">
        <v>178</v>
      </c>
      <c r="C215" s="449"/>
      <c r="D215" s="428"/>
      <c r="E215" s="428"/>
      <c r="F215" s="428"/>
      <c r="G215" s="428"/>
      <c r="H215" s="428"/>
      <c r="I215" s="428"/>
      <c r="J215" s="428"/>
      <c r="K215" s="428"/>
      <c r="L215" s="527">
        <v>0</v>
      </c>
      <c r="M215" s="428"/>
      <c r="N215" s="520"/>
      <c r="O215" s="533"/>
      <c r="P215" s="418"/>
    </row>
    <row r="216" spans="1:17" x14ac:dyDescent="0.3">
      <c r="A216" s="523"/>
      <c r="B216" s="529"/>
      <c r="C216" s="534"/>
      <c r="D216" s="443"/>
      <c r="E216" s="443"/>
      <c r="F216" s="443"/>
      <c r="G216" s="443"/>
      <c r="H216" s="443"/>
      <c r="I216" s="443"/>
      <c r="J216" s="443"/>
      <c r="K216" s="443"/>
      <c r="L216" s="535"/>
      <c r="M216" s="443"/>
      <c r="N216" s="525"/>
      <c r="O216" s="531"/>
      <c r="P216" s="402"/>
    </row>
    <row r="217" spans="1:17" x14ac:dyDescent="0.3">
      <c r="A217" s="523"/>
      <c r="B217" s="529"/>
      <c r="C217" s="534"/>
      <c r="D217" s="443"/>
      <c r="E217" s="443"/>
      <c r="F217" s="443"/>
      <c r="G217" s="443"/>
      <c r="H217" s="443"/>
      <c r="I217" s="443"/>
      <c r="J217" s="443"/>
      <c r="K217" s="443"/>
      <c r="L217" s="535"/>
      <c r="M217" s="443"/>
      <c r="N217" s="525"/>
      <c r="O217" s="531"/>
      <c r="P217" s="402"/>
    </row>
    <row r="218" spans="1:17" ht="18" x14ac:dyDescent="0.35">
      <c r="A218" s="523"/>
      <c r="B218" s="582" t="s">
        <v>294</v>
      </c>
      <c r="C218" s="534"/>
      <c r="D218" s="443"/>
      <c r="E218" s="583"/>
      <c r="F218" s="443"/>
      <c r="G218" s="443"/>
      <c r="H218" s="536"/>
      <c r="I218" s="443"/>
      <c r="J218" s="443"/>
      <c r="K218" s="584" t="s">
        <v>293</v>
      </c>
      <c r="L218" s="535"/>
      <c r="M218" s="443"/>
      <c r="N218" s="525"/>
      <c r="O218" s="531"/>
      <c r="P218" s="402"/>
    </row>
    <row r="219" spans="1:17" ht="18" x14ac:dyDescent="0.35">
      <c r="A219" s="537"/>
      <c r="B219" s="538"/>
      <c r="C219" s="539"/>
      <c r="D219" s="471"/>
      <c r="E219" s="471"/>
      <c r="F219" s="471"/>
      <c r="G219" s="471"/>
      <c r="H219" s="540"/>
      <c r="I219" s="471"/>
      <c r="J219" s="471"/>
      <c r="K219" s="471"/>
      <c r="L219" s="541"/>
      <c r="M219" s="471"/>
      <c r="N219" s="542"/>
      <c r="O219" s="543"/>
      <c r="P219" s="402"/>
    </row>
    <row r="220" spans="1:17" x14ac:dyDescent="0.3">
      <c r="A220" s="585"/>
      <c r="B220" s="599" t="s">
        <v>258</v>
      </c>
      <c r="C220" s="601"/>
      <c r="D220" s="601"/>
      <c r="E220" s="601"/>
      <c r="F220" s="601"/>
      <c r="G220" s="601"/>
      <c r="H220" s="601"/>
      <c r="I220" s="601"/>
      <c r="J220" s="619" t="s">
        <v>99</v>
      </c>
      <c r="K220" s="601" t="s">
        <v>100</v>
      </c>
      <c r="L220" s="615" t="s">
        <v>108</v>
      </c>
      <c r="M220" s="601" t="s">
        <v>100</v>
      </c>
      <c r="N220" s="591"/>
      <c r="O220" s="620"/>
      <c r="P220" s="402"/>
    </row>
    <row r="221" spans="1:17" s="419" customFormat="1" x14ac:dyDescent="0.3">
      <c r="A221" s="587"/>
      <c r="B221" s="597" t="s">
        <v>85</v>
      </c>
      <c r="C221" s="616"/>
      <c r="D221" s="616"/>
      <c r="E221" s="616"/>
      <c r="F221" s="616"/>
      <c r="G221" s="616"/>
      <c r="H221" s="616"/>
      <c r="I221" s="616"/>
      <c r="J221" s="597">
        <f t="shared" ref="J221:J233" si="1">+J238+J255+J272</f>
        <v>344</v>
      </c>
      <c r="K221" s="617">
        <f t="shared" ref="K221:K233" si="2">J221/$J$235</f>
        <v>0.94246575342465755</v>
      </c>
      <c r="L221" s="598">
        <f t="shared" ref="L221:L233" si="3">+L238+L255+L272</f>
        <v>12341</v>
      </c>
      <c r="M221" s="617">
        <f t="shared" ref="M221:M233" si="4">L221/$L$235</f>
        <v>0.94850511105987245</v>
      </c>
      <c r="N221" s="613"/>
      <c r="O221" s="618"/>
      <c r="P221" s="418"/>
    </row>
    <row r="222" spans="1:17" s="419" customFormat="1" x14ac:dyDescent="0.3">
      <c r="A222" s="427"/>
      <c r="B222" s="469" t="s">
        <v>86</v>
      </c>
      <c r="C222" s="544"/>
      <c r="D222" s="544"/>
      <c r="E222" s="544"/>
      <c r="F222" s="544"/>
      <c r="G222" s="544"/>
      <c r="H222" s="544"/>
      <c r="I222" s="544"/>
      <c r="J222" s="469">
        <f t="shared" si="1"/>
        <v>6</v>
      </c>
      <c r="K222" s="545">
        <f t="shared" si="2"/>
        <v>1.643835616438356E-2</v>
      </c>
      <c r="L222" s="470">
        <f t="shared" si="3"/>
        <v>215</v>
      </c>
      <c r="M222" s="545">
        <f t="shared" si="4"/>
        <v>1.6524479286757359E-2</v>
      </c>
      <c r="N222" s="520"/>
      <c r="O222" s="533"/>
      <c r="P222" s="418"/>
      <c r="Q222" s="482"/>
    </row>
    <row r="223" spans="1:17" s="419" customFormat="1" x14ac:dyDescent="0.3">
      <c r="A223" s="427"/>
      <c r="B223" s="469" t="s">
        <v>87</v>
      </c>
      <c r="C223" s="544"/>
      <c r="D223" s="544"/>
      <c r="E223" s="544"/>
      <c r="F223" s="544"/>
      <c r="G223" s="544"/>
      <c r="H223" s="544"/>
      <c r="I223" s="544"/>
      <c r="J223" s="469">
        <f t="shared" si="1"/>
        <v>4</v>
      </c>
      <c r="K223" s="545">
        <f t="shared" si="2"/>
        <v>1.0958904109589041E-2</v>
      </c>
      <c r="L223" s="470">
        <f t="shared" si="3"/>
        <v>142</v>
      </c>
      <c r="M223" s="545">
        <f t="shared" si="4"/>
        <v>1.091384213357928E-2</v>
      </c>
      <c r="N223" s="520"/>
      <c r="O223" s="533"/>
      <c r="P223" s="418"/>
    </row>
    <row r="224" spans="1:17" s="419" customFormat="1" x14ac:dyDescent="0.3">
      <c r="A224" s="427"/>
      <c r="B224" s="469" t="s">
        <v>145</v>
      </c>
      <c r="C224" s="544"/>
      <c r="D224" s="544"/>
      <c r="E224" s="544"/>
      <c r="F224" s="544"/>
      <c r="G224" s="544"/>
      <c r="H224" s="544"/>
      <c r="I224" s="544"/>
      <c r="J224" s="469">
        <f t="shared" si="1"/>
        <v>1</v>
      </c>
      <c r="K224" s="545">
        <f t="shared" si="2"/>
        <v>2.7397260273972603E-3</v>
      </c>
      <c r="L224" s="470">
        <f t="shared" si="3"/>
        <v>23</v>
      </c>
      <c r="M224" s="545">
        <f t="shared" si="4"/>
        <v>1.7677349934670664E-3</v>
      </c>
      <c r="N224" s="520"/>
      <c r="O224" s="533"/>
      <c r="P224" s="418"/>
      <c r="Q224" s="482"/>
    </row>
    <row r="225" spans="1:17" s="419" customFormat="1" x14ac:dyDescent="0.3">
      <c r="A225" s="427"/>
      <c r="B225" s="469" t="s">
        <v>146</v>
      </c>
      <c r="C225" s="544"/>
      <c r="D225" s="544"/>
      <c r="E225" s="544"/>
      <c r="F225" s="544"/>
      <c r="G225" s="544"/>
      <c r="H225" s="544"/>
      <c r="I225" s="544"/>
      <c r="J225" s="469">
        <f t="shared" si="1"/>
        <v>1</v>
      </c>
      <c r="K225" s="545">
        <f t="shared" si="2"/>
        <v>2.7397260273972603E-3</v>
      </c>
      <c r="L225" s="470">
        <f t="shared" si="3"/>
        <v>26</v>
      </c>
      <c r="M225" s="545">
        <f t="shared" si="4"/>
        <v>1.9983091230497273E-3</v>
      </c>
      <c r="N225" s="520"/>
      <c r="O225" s="533"/>
      <c r="P225" s="418"/>
    </row>
    <row r="226" spans="1:17" s="419" customFormat="1" x14ac:dyDescent="0.3">
      <c r="A226" s="427"/>
      <c r="B226" s="469" t="s">
        <v>147</v>
      </c>
      <c r="C226" s="544"/>
      <c r="D226" s="544"/>
      <c r="E226" s="544"/>
      <c r="F226" s="544"/>
      <c r="G226" s="544"/>
      <c r="H226" s="544"/>
      <c r="I226" s="544"/>
      <c r="J226" s="469">
        <f t="shared" si="1"/>
        <v>1</v>
      </c>
      <c r="K226" s="545">
        <f t="shared" si="2"/>
        <v>2.7397260273972603E-3</v>
      </c>
      <c r="L226" s="470">
        <f t="shared" si="3"/>
        <v>39</v>
      </c>
      <c r="M226" s="545">
        <f t="shared" si="4"/>
        <v>2.9974636845745907E-3</v>
      </c>
      <c r="N226" s="520"/>
      <c r="O226" s="533"/>
      <c r="P226" s="418"/>
      <c r="Q226" s="482"/>
    </row>
    <row r="227" spans="1:17" s="419" customFormat="1" x14ac:dyDescent="0.3">
      <c r="A227" s="427"/>
      <c r="B227" s="469" t="s">
        <v>227</v>
      </c>
      <c r="C227" s="544"/>
      <c r="D227" s="544"/>
      <c r="E227" s="544"/>
      <c r="F227" s="544"/>
      <c r="G227" s="544"/>
      <c r="H227" s="544"/>
      <c r="I227" s="544"/>
      <c r="J227" s="469">
        <f t="shared" si="1"/>
        <v>0</v>
      </c>
      <c r="K227" s="545">
        <f t="shared" si="2"/>
        <v>0</v>
      </c>
      <c r="L227" s="470">
        <f t="shared" si="3"/>
        <v>0</v>
      </c>
      <c r="M227" s="545">
        <f t="shared" si="4"/>
        <v>0</v>
      </c>
      <c r="N227" s="520"/>
      <c r="O227" s="533"/>
      <c r="P227" s="418"/>
    </row>
    <row r="228" spans="1:17" s="419" customFormat="1" x14ac:dyDescent="0.3">
      <c r="A228" s="427"/>
      <c r="B228" s="469" t="s">
        <v>228</v>
      </c>
      <c r="C228" s="544"/>
      <c r="D228" s="544"/>
      <c r="E228" s="544"/>
      <c r="F228" s="544"/>
      <c r="G228" s="544"/>
      <c r="H228" s="544"/>
      <c r="I228" s="544"/>
      <c r="J228" s="469">
        <f t="shared" si="1"/>
        <v>0</v>
      </c>
      <c r="K228" s="545">
        <f t="shared" si="2"/>
        <v>0</v>
      </c>
      <c r="L228" s="470">
        <f t="shared" si="3"/>
        <v>0</v>
      </c>
      <c r="M228" s="545">
        <f t="shared" si="4"/>
        <v>0</v>
      </c>
      <c r="N228" s="520"/>
      <c r="O228" s="533"/>
      <c r="P228" s="418"/>
      <c r="Q228" s="482"/>
    </row>
    <row r="229" spans="1:17" s="419" customFormat="1" x14ac:dyDescent="0.3">
      <c r="A229" s="427"/>
      <c r="B229" s="469" t="s">
        <v>229</v>
      </c>
      <c r="C229" s="544"/>
      <c r="D229" s="544"/>
      <c r="E229" s="544"/>
      <c r="F229" s="544"/>
      <c r="G229" s="544"/>
      <c r="H229" s="544"/>
      <c r="I229" s="544"/>
      <c r="J229" s="469">
        <f t="shared" si="1"/>
        <v>2</v>
      </c>
      <c r="K229" s="545">
        <f t="shared" si="2"/>
        <v>5.4794520547945206E-3</v>
      </c>
      <c r="L229" s="470">
        <f t="shared" si="3"/>
        <v>122</v>
      </c>
      <c r="M229" s="545">
        <f t="shared" si="4"/>
        <v>9.3766812696948736E-3</v>
      </c>
      <c r="N229" s="520"/>
      <c r="O229" s="533"/>
      <c r="P229" s="418"/>
      <c r="Q229" s="482"/>
    </row>
    <row r="230" spans="1:17" s="419" customFormat="1" x14ac:dyDescent="0.3">
      <c r="A230" s="427"/>
      <c r="B230" s="469" t="s">
        <v>230</v>
      </c>
      <c r="C230" s="544"/>
      <c r="D230" s="544"/>
      <c r="E230" s="544"/>
      <c r="F230" s="544"/>
      <c r="G230" s="544"/>
      <c r="H230" s="544"/>
      <c r="I230" s="544"/>
      <c r="J230" s="469">
        <f t="shared" si="1"/>
        <v>1</v>
      </c>
      <c r="K230" s="545">
        <f t="shared" si="2"/>
        <v>2.7397260273972603E-3</v>
      </c>
      <c r="L230" s="470">
        <f t="shared" si="3"/>
        <v>13</v>
      </c>
      <c r="M230" s="545">
        <f t="shared" si="4"/>
        <v>9.9915456152486364E-4</v>
      </c>
      <c r="N230" s="520"/>
      <c r="O230" s="533"/>
      <c r="P230" s="418"/>
      <c r="Q230" s="482"/>
    </row>
    <row r="231" spans="1:17" s="419" customFormat="1" x14ac:dyDescent="0.3">
      <c r="A231" s="427"/>
      <c r="B231" s="469" t="s">
        <v>231</v>
      </c>
      <c r="C231" s="544"/>
      <c r="D231" s="544"/>
      <c r="E231" s="544"/>
      <c r="F231" s="544"/>
      <c r="G231" s="544"/>
      <c r="H231" s="544"/>
      <c r="I231" s="544"/>
      <c r="J231" s="469">
        <f t="shared" si="1"/>
        <v>0</v>
      </c>
      <c r="K231" s="545">
        <f t="shared" si="2"/>
        <v>0</v>
      </c>
      <c r="L231" s="470">
        <f t="shared" si="3"/>
        <v>0</v>
      </c>
      <c r="M231" s="545">
        <f t="shared" si="4"/>
        <v>0</v>
      </c>
      <c r="N231" s="520"/>
      <c r="O231" s="533"/>
      <c r="P231" s="418"/>
      <c r="Q231" s="482"/>
    </row>
    <row r="232" spans="1:17" s="419" customFormat="1" x14ac:dyDescent="0.3">
      <c r="A232" s="427"/>
      <c r="B232" s="469" t="s">
        <v>232</v>
      </c>
      <c r="C232" s="544"/>
      <c r="D232" s="544"/>
      <c r="E232" s="544"/>
      <c r="F232" s="544"/>
      <c r="G232" s="544"/>
      <c r="H232" s="544"/>
      <c r="I232" s="544"/>
      <c r="J232" s="469">
        <f t="shared" si="1"/>
        <v>1</v>
      </c>
      <c r="K232" s="545">
        <f t="shared" si="2"/>
        <v>2.7397260273972603E-3</v>
      </c>
      <c r="L232" s="470">
        <f t="shared" si="3"/>
        <v>52</v>
      </c>
      <c r="M232" s="545">
        <f t="shared" si="4"/>
        <v>3.9966182460994546E-3</v>
      </c>
      <c r="N232" s="520"/>
      <c r="O232" s="533"/>
      <c r="P232" s="418"/>
      <c r="Q232" s="482"/>
    </row>
    <row r="233" spans="1:17" s="419" customFormat="1" x14ac:dyDescent="0.3">
      <c r="A233" s="427"/>
      <c r="B233" s="469" t="s">
        <v>233</v>
      </c>
      <c r="C233" s="544"/>
      <c r="D233" s="544"/>
      <c r="E233" s="544"/>
      <c r="F233" s="544"/>
      <c r="G233" s="544"/>
      <c r="H233" s="544"/>
      <c r="I233" s="544"/>
      <c r="J233" s="469">
        <f t="shared" si="1"/>
        <v>4</v>
      </c>
      <c r="K233" s="545">
        <f t="shared" si="2"/>
        <v>1.0958904109589041E-2</v>
      </c>
      <c r="L233" s="470">
        <f t="shared" si="3"/>
        <v>38</v>
      </c>
      <c r="M233" s="545">
        <f t="shared" si="4"/>
        <v>2.9206056413803704E-3</v>
      </c>
      <c r="N233" s="520"/>
      <c r="O233" s="533"/>
      <c r="P233" s="418"/>
      <c r="Q233" s="482"/>
    </row>
    <row r="234" spans="1:17" s="419" customFormat="1" x14ac:dyDescent="0.3">
      <c r="A234" s="427"/>
      <c r="B234" s="469"/>
      <c r="C234" s="544"/>
      <c r="D234" s="544"/>
      <c r="E234" s="544"/>
      <c r="F234" s="544"/>
      <c r="G234" s="544"/>
      <c r="H234" s="544"/>
      <c r="I234" s="544"/>
      <c r="J234" s="469"/>
      <c r="K234" s="545"/>
      <c r="L234" s="470"/>
      <c r="M234" s="545"/>
      <c r="N234" s="520"/>
      <c r="O234" s="533"/>
      <c r="P234" s="418"/>
      <c r="Q234" s="482"/>
    </row>
    <row r="235" spans="1:17" s="419" customFormat="1" x14ac:dyDescent="0.3">
      <c r="A235" s="427"/>
      <c r="B235" s="428"/>
      <c r="C235" s="428"/>
      <c r="D235" s="546"/>
      <c r="E235" s="546"/>
      <c r="F235" s="546"/>
      <c r="G235" s="546"/>
      <c r="H235" s="546"/>
      <c r="I235" s="546"/>
      <c r="J235" s="469">
        <f>SUM(J221:J234)</f>
        <v>365</v>
      </c>
      <c r="K235" s="545">
        <f>SUM(K221:K234)</f>
        <v>0.99999999999999989</v>
      </c>
      <c r="L235" s="470">
        <f>SUM(L221:L234)</f>
        <v>13011</v>
      </c>
      <c r="M235" s="545">
        <f>SUM(M221:M234)</f>
        <v>1</v>
      </c>
      <c r="N235" s="428"/>
      <c r="O235" s="430"/>
      <c r="P235" s="418"/>
    </row>
    <row r="236" spans="1:17" x14ac:dyDescent="0.3">
      <c r="A236" s="537"/>
      <c r="B236" s="547"/>
      <c r="C236" s="539"/>
      <c r="D236" s="471"/>
      <c r="E236" s="471"/>
      <c r="F236" s="471"/>
      <c r="G236" s="471"/>
      <c r="H236" s="471"/>
      <c r="I236" s="471"/>
      <c r="J236" s="471"/>
      <c r="K236" s="471"/>
      <c r="L236" s="541"/>
      <c r="M236" s="471"/>
      <c r="N236" s="542"/>
      <c r="O236" s="543"/>
      <c r="P236" s="402"/>
    </row>
    <row r="237" spans="1:17" x14ac:dyDescent="0.3">
      <c r="A237" s="585"/>
      <c r="B237" s="599" t="s">
        <v>149</v>
      </c>
      <c r="C237" s="601"/>
      <c r="D237" s="601"/>
      <c r="E237" s="601"/>
      <c r="F237" s="601"/>
      <c r="G237" s="601"/>
      <c r="H237" s="601"/>
      <c r="I237" s="601"/>
      <c r="J237" s="619" t="s">
        <v>99</v>
      </c>
      <c r="K237" s="601" t="s">
        <v>100</v>
      </c>
      <c r="L237" s="615" t="s">
        <v>108</v>
      </c>
      <c r="M237" s="601" t="s">
        <v>100</v>
      </c>
      <c r="N237" s="591"/>
      <c r="O237" s="620"/>
      <c r="P237" s="402"/>
    </row>
    <row r="238" spans="1:17" s="419" customFormat="1" x14ac:dyDescent="0.3">
      <c r="A238" s="587"/>
      <c r="B238" s="597" t="s">
        <v>85</v>
      </c>
      <c r="C238" s="616"/>
      <c r="D238" s="616"/>
      <c r="E238" s="616"/>
      <c r="F238" s="616"/>
      <c r="G238" s="616"/>
      <c r="H238" s="616"/>
      <c r="I238" s="616"/>
      <c r="J238" s="597">
        <v>344</v>
      </c>
      <c r="K238" s="617">
        <f t="shared" ref="K238:K250" si="5">J238/$J$252</f>
        <v>0.94505494505494503</v>
      </c>
      <c r="L238" s="598">
        <v>12341</v>
      </c>
      <c r="M238" s="617">
        <f t="shared" ref="M238:M250" si="6">L238/$L$252</f>
        <v>0.95659251220835595</v>
      </c>
      <c r="N238" s="613"/>
      <c r="O238" s="618"/>
      <c r="P238" s="418"/>
    </row>
    <row r="239" spans="1:17" s="419" customFormat="1" x14ac:dyDescent="0.3">
      <c r="A239" s="427"/>
      <c r="B239" s="469" t="s">
        <v>86</v>
      </c>
      <c r="C239" s="544"/>
      <c r="D239" s="544"/>
      <c r="E239" s="544"/>
      <c r="F239" s="544"/>
      <c r="G239" s="544"/>
      <c r="H239" s="544"/>
      <c r="I239" s="544"/>
      <c r="J239" s="469">
        <v>6</v>
      </c>
      <c r="K239" s="545">
        <f t="shared" si="5"/>
        <v>1.6483516483516484E-2</v>
      </c>
      <c r="L239" s="470">
        <v>215</v>
      </c>
      <c r="M239" s="545">
        <f t="shared" si="6"/>
        <v>1.6665374777149057E-2</v>
      </c>
      <c r="N239" s="520"/>
      <c r="O239" s="533"/>
      <c r="P239" s="418"/>
      <c r="Q239" s="482"/>
    </row>
    <row r="240" spans="1:17" s="419" customFormat="1" x14ac:dyDescent="0.3">
      <c r="A240" s="427"/>
      <c r="B240" s="469" t="s">
        <v>87</v>
      </c>
      <c r="C240" s="544"/>
      <c r="D240" s="544"/>
      <c r="E240" s="544"/>
      <c r="F240" s="544"/>
      <c r="G240" s="544"/>
      <c r="H240" s="544"/>
      <c r="I240" s="544"/>
      <c r="J240" s="469">
        <v>4</v>
      </c>
      <c r="K240" s="545">
        <f t="shared" si="5"/>
        <v>1.098901098901099E-2</v>
      </c>
      <c r="L240" s="470">
        <v>142</v>
      </c>
      <c r="M240" s="545">
        <f t="shared" si="6"/>
        <v>1.1006898690024029E-2</v>
      </c>
      <c r="N240" s="520"/>
      <c r="O240" s="533"/>
      <c r="P240" s="418"/>
    </row>
    <row r="241" spans="1:17" s="419" customFormat="1" x14ac:dyDescent="0.3">
      <c r="A241" s="427"/>
      <c r="B241" s="469" t="s">
        <v>145</v>
      </c>
      <c r="C241" s="544"/>
      <c r="D241" s="544"/>
      <c r="E241" s="544"/>
      <c r="F241" s="544"/>
      <c r="G241" s="544"/>
      <c r="H241" s="544"/>
      <c r="I241" s="544"/>
      <c r="J241" s="469">
        <v>1</v>
      </c>
      <c r="K241" s="545">
        <f t="shared" si="5"/>
        <v>2.7472527472527475E-3</v>
      </c>
      <c r="L241" s="470">
        <v>23</v>
      </c>
      <c r="M241" s="545">
        <f t="shared" si="6"/>
        <v>1.7828075342996668E-3</v>
      </c>
      <c r="N241" s="520"/>
      <c r="O241" s="533"/>
      <c r="P241" s="418"/>
      <c r="Q241" s="482"/>
    </row>
    <row r="242" spans="1:17" s="419" customFormat="1" x14ac:dyDescent="0.3">
      <c r="A242" s="427"/>
      <c r="B242" s="469" t="s">
        <v>146</v>
      </c>
      <c r="C242" s="544"/>
      <c r="D242" s="544"/>
      <c r="E242" s="544"/>
      <c r="F242" s="544"/>
      <c r="G242" s="544"/>
      <c r="H242" s="544"/>
      <c r="I242" s="544"/>
      <c r="J242" s="469">
        <v>1</v>
      </c>
      <c r="K242" s="545">
        <f t="shared" si="5"/>
        <v>2.7472527472527475E-3</v>
      </c>
      <c r="L242" s="470">
        <v>26</v>
      </c>
      <c r="M242" s="545">
        <f t="shared" si="6"/>
        <v>2.0153476474691883E-3</v>
      </c>
      <c r="N242" s="520"/>
      <c r="O242" s="533"/>
      <c r="P242" s="418"/>
    </row>
    <row r="243" spans="1:17" s="419" customFormat="1" x14ac:dyDescent="0.3">
      <c r="A243" s="427"/>
      <c r="B243" s="469" t="s">
        <v>147</v>
      </c>
      <c r="C243" s="544"/>
      <c r="D243" s="544"/>
      <c r="E243" s="544"/>
      <c r="F243" s="544"/>
      <c r="G243" s="544"/>
      <c r="H243" s="544"/>
      <c r="I243" s="544"/>
      <c r="J243" s="469">
        <v>1</v>
      </c>
      <c r="K243" s="545">
        <f t="shared" si="5"/>
        <v>2.7472527472527475E-3</v>
      </c>
      <c r="L243" s="470">
        <v>39</v>
      </c>
      <c r="M243" s="545">
        <f t="shared" si="6"/>
        <v>3.0230214712037825E-3</v>
      </c>
      <c r="N243" s="520"/>
      <c r="O243" s="533"/>
      <c r="P243" s="418"/>
      <c r="Q243" s="482"/>
    </row>
    <row r="244" spans="1:17" s="419" customFormat="1" x14ac:dyDescent="0.3">
      <c r="A244" s="427"/>
      <c r="B244" s="469" t="s">
        <v>227</v>
      </c>
      <c r="C244" s="544"/>
      <c r="D244" s="544"/>
      <c r="E244" s="544"/>
      <c r="F244" s="544"/>
      <c r="G244" s="544"/>
      <c r="H244" s="544"/>
      <c r="I244" s="544"/>
      <c r="J244" s="469">
        <v>0</v>
      </c>
      <c r="K244" s="545">
        <f t="shared" si="5"/>
        <v>0</v>
      </c>
      <c r="L244" s="470">
        <v>0</v>
      </c>
      <c r="M244" s="545">
        <f t="shared" si="6"/>
        <v>0</v>
      </c>
      <c r="N244" s="520"/>
      <c r="O244" s="533"/>
      <c r="P244" s="418"/>
    </row>
    <row r="245" spans="1:17" s="419" customFormat="1" x14ac:dyDescent="0.3">
      <c r="A245" s="427"/>
      <c r="B245" s="469" t="s">
        <v>228</v>
      </c>
      <c r="C245" s="544"/>
      <c r="D245" s="544"/>
      <c r="E245" s="544"/>
      <c r="F245" s="544"/>
      <c r="G245" s="544"/>
      <c r="H245" s="544"/>
      <c r="I245" s="544"/>
      <c r="J245" s="469">
        <v>0</v>
      </c>
      <c r="K245" s="545">
        <f t="shared" si="5"/>
        <v>0</v>
      </c>
      <c r="L245" s="470">
        <v>0</v>
      </c>
      <c r="M245" s="545">
        <f t="shared" si="6"/>
        <v>0</v>
      </c>
      <c r="N245" s="520"/>
      <c r="O245" s="533"/>
      <c r="P245" s="418"/>
      <c r="Q245" s="482"/>
    </row>
    <row r="246" spans="1:17" s="419" customFormat="1" x14ac:dyDescent="0.3">
      <c r="A246" s="427"/>
      <c r="B246" s="469" t="s">
        <v>229</v>
      </c>
      <c r="C246" s="544"/>
      <c r="D246" s="544"/>
      <c r="E246" s="544"/>
      <c r="F246" s="544"/>
      <c r="G246" s="544"/>
      <c r="H246" s="544"/>
      <c r="I246" s="544"/>
      <c r="J246" s="469">
        <v>1</v>
      </c>
      <c r="K246" s="545">
        <f t="shared" si="5"/>
        <v>2.7472527472527475E-3</v>
      </c>
      <c r="L246" s="470">
        <v>12</v>
      </c>
      <c r="M246" s="545">
        <f t="shared" si="6"/>
        <v>9.3016045267808694E-4</v>
      </c>
      <c r="N246" s="520"/>
      <c r="O246" s="533"/>
      <c r="P246" s="418"/>
      <c r="Q246" s="482"/>
    </row>
    <row r="247" spans="1:17" s="419" customFormat="1" x14ac:dyDescent="0.3">
      <c r="A247" s="427"/>
      <c r="B247" s="469" t="s">
        <v>230</v>
      </c>
      <c r="C247" s="544"/>
      <c r="D247" s="544"/>
      <c r="E247" s="544"/>
      <c r="F247" s="544"/>
      <c r="G247" s="544"/>
      <c r="H247" s="544"/>
      <c r="I247" s="544"/>
      <c r="J247" s="469">
        <v>1</v>
      </c>
      <c r="K247" s="545">
        <f t="shared" si="5"/>
        <v>2.7472527472527475E-3</v>
      </c>
      <c r="L247" s="470">
        <v>13</v>
      </c>
      <c r="M247" s="545">
        <f t="shared" si="6"/>
        <v>1.0076738237345942E-3</v>
      </c>
      <c r="N247" s="520"/>
      <c r="O247" s="533"/>
      <c r="P247" s="418"/>
      <c r="Q247" s="482"/>
    </row>
    <row r="248" spans="1:17" s="419" customFormat="1" x14ac:dyDescent="0.3">
      <c r="A248" s="427"/>
      <c r="B248" s="469" t="s">
        <v>231</v>
      </c>
      <c r="C248" s="544"/>
      <c r="D248" s="544"/>
      <c r="E248" s="544"/>
      <c r="F248" s="544"/>
      <c r="G248" s="544"/>
      <c r="H248" s="544"/>
      <c r="I248" s="544"/>
      <c r="J248" s="469">
        <v>0</v>
      </c>
      <c r="K248" s="545">
        <f t="shared" si="5"/>
        <v>0</v>
      </c>
      <c r="L248" s="470">
        <v>0</v>
      </c>
      <c r="M248" s="545">
        <f t="shared" si="6"/>
        <v>0</v>
      </c>
      <c r="N248" s="520"/>
      <c r="O248" s="533"/>
      <c r="P248" s="418"/>
      <c r="Q248" s="482"/>
    </row>
    <row r="249" spans="1:17" s="419" customFormat="1" x14ac:dyDescent="0.3">
      <c r="A249" s="427"/>
      <c r="B249" s="469" t="s">
        <v>232</v>
      </c>
      <c r="C249" s="544"/>
      <c r="D249" s="544"/>
      <c r="E249" s="544"/>
      <c r="F249" s="544"/>
      <c r="G249" s="544"/>
      <c r="H249" s="544"/>
      <c r="I249" s="544"/>
      <c r="J249" s="469">
        <v>1</v>
      </c>
      <c r="K249" s="545">
        <f t="shared" si="5"/>
        <v>2.7472527472527475E-3</v>
      </c>
      <c r="L249" s="470">
        <v>52</v>
      </c>
      <c r="M249" s="545">
        <f t="shared" si="6"/>
        <v>4.0306952949383766E-3</v>
      </c>
      <c r="N249" s="548"/>
      <c r="O249" s="533"/>
      <c r="P249" s="418"/>
      <c r="Q249" s="482"/>
    </row>
    <row r="250" spans="1:17" s="419" customFormat="1" x14ac:dyDescent="0.3">
      <c r="A250" s="427"/>
      <c r="B250" s="469" t="s">
        <v>233</v>
      </c>
      <c r="C250" s="544"/>
      <c r="D250" s="544"/>
      <c r="E250" s="544"/>
      <c r="F250" s="544"/>
      <c r="G250" s="544"/>
      <c r="H250" s="544"/>
      <c r="I250" s="544"/>
      <c r="J250" s="469">
        <v>4</v>
      </c>
      <c r="K250" s="545">
        <f t="shared" si="5"/>
        <v>1.098901098901099E-2</v>
      </c>
      <c r="L250" s="470">
        <v>38</v>
      </c>
      <c r="M250" s="545">
        <f t="shared" si="6"/>
        <v>2.9455081001472753E-3</v>
      </c>
      <c r="N250" s="548"/>
      <c r="O250" s="533"/>
      <c r="P250" s="418"/>
      <c r="Q250" s="482"/>
    </row>
    <row r="251" spans="1:17" s="419" customFormat="1" ht="18" customHeight="1" x14ac:dyDescent="0.3">
      <c r="A251" s="427"/>
      <c r="B251" s="469"/>
      <c r="C251" s="544"/>
      <c r="D251" s="544"/>
      <c r="E251" s="544"/>
      <c r="F251" s="544"/>
      <c r="G251" s="544"/>
      <c r="H251" s="544"/>
      <c r="I251" s="544"/>
      <c r="J251" s="469"/>
      <c r="K251" s="545"/>
      <c r="L251" s="470"/>
      <c r="M251" s="545"/>
      <c r="N251" s="520"/>
      <c r="O251" s="533"/>
      <c r="P251" s="418"/>
      <c r="Q251" s="482"/>
    </row>
    <row r="252" spans="1:17" s="419" customFormat="1" x14ac:dyDescent="0.3">
      <c r="A252" s="427"/>
      <c r="B252" s="428"/>
      <c r="C252" s="428"/>
      <c r="D252" s="546"/>
      <c r="E252" s="546"/>
      <c r="F252" s="546"/>
      <c r="G252" s="546"/>
      <c r="H252" s="546"/>
      <c r="I252" s="546"/>
      <c r="J252" s="469">
        <f>SUM(J238:J251)</f>
        <v>364</v>
      </c>
      <c r="K252" s="545">
        <f>SUM(K238:K251)</f>
        <v>0.99999999999999989</v>
      </c>
      <c r="L252" s="470">
        <f>SUM(L238:L251)</f>
        <v>12901</v>
      </c>
      <c r="M252" s="545">
        <f>SUM(M238:M251)</f>
        <v>1</v>
      </c>
      <c r="N252" s="428"/>
      <c r="O252" s="430"/>
      <c r="P252" s="418"/>
    </row>
    <row r="253" spans="1:17" x14ac:dyDescent="0.3">
      <c r="A253" s="404"/>
      <c r="B253" s="476"/>
      <c r="C253" s="476"/>
      <c r="D253" s="549"/>
      <c r="E253" s="549"/>
      <c r="F253" s="549"/>
      <c r="G253" s="549"/>
      <c r="H253" s="549"/>
      <c r="I253" s="549"/>
      <c r="J253" s="477"/>
      <c r="K253" s="550"/>
      <c r="L253" s="498"/>
      <c r="M253" s="550"/>
      <c r="N253" s="476"/>
      <c r="O253" s="476"/>
      <c r="P253" s="402"/>
    </row>
    <row r="254" spans="1:17" x14ac:dyDescent="0.3">
      <c r="A254" s="585"/>
      <c r="B254" s="599" t="s">
        <v>204</v>
      </c>
      <c r="C254" s="601"/>
      <c r="D254" s="601"/>
      <c r="E254" s="601"/>
      <c r="F254" s="601"/>
      <c r="G254" s="601"/>
      <c r="H254" s="601"/>
      <c r="I254" s="601"/>
      <c r="J254" s="619" t="s">
        <v>99</v>
      </c>
      <c r="K254" s="601" t="s">
        <v>100</v>
      </c>
      <c r="L254" s="615" t="s">
        <v>108</v>
      </c>
      <c r="M254" s="601" t="s">
        <v>100</v>
      </c>
      <c r="N254" s="591"/>
      <c r="O254" s="594"/>
      <c r="P254" s="402"/>
    </row>
    <row r="255" spans="1:17" s="419" customFormat="1" x14ac:dyDescent="0.3">
      <c r="A255" s="587"/>
      <c r="B255" s="597" t="s">
        <v>85</v>
      </c>
      <c r="C255" s="616"/>
      <c r="D255" s="616"/>
      <c r="E255" s="616"/>
      <c r="F255" s="616"/>
      <c r="G255" s="616"/>
      <c r="H255" s="616"/>
      <c r="I255" s="616"/>
      <c r="J255" s="597">
        <v>0</v>
      </c>
      <c r="K255" s="617">
        <v>0</v>
      </c>
      <c r="L255" s="598">
        <v>0</v>
      </c>
      <c r="M255" s="617">
        <v>0</v>
      </c>
      <c r="N255" s="588"/>
      <c r="O255" s="590"/>
      <c r="P255" s="418"/>
    </row>
    <row r="256" spans="1:17" s="419" customFormat="1" x14ac:dyDescent="0.3">
      <c r="A256" s="427"/>
      <c r="B256" s="469" t="s">
        <v>86</v>
      </c>
      <c r="C256" s="544"/>
      <c r="D256" s="544"/>
      <c r="E256" s="544"/>
      <c r="F256" s="544"/>
      <c r="G256" s="544"/>
      <c r="H256" s="544"/>
      <c r="I256" s="544"/>
      <c r="J256" s="469">
        <v>0</v>
      </c>
      <c r="K256" s="545">
        <v>0</v>
      </c>
      <c r="L256" s="470">
        <v>0</v>
      </c>
      <c r="M256" s="545">
        <v>0</v>
      </c>
      <c r="N256" s="428"/>
      <c r="O256" s="430"/>
      <c r="P256" s="418"/>
    </row>
    <row r="257" spans="1:16" s="419" customFormat="1" x14ac:dyDescent="0.3">
      <c r="A257" s="427"/>
      <c r="B257" s="469" t="s">
        <v>87</v>
      </c>
      <c r="C257" s="544"/>
      <c r="D257" s="544"/>
      <c r="E257" s="544"/>
      <c r="F257" s="544"/>
      <c r="G257" s="544"/>
      <c r="H257" s="544"/>
      <c r="I257" s="544"/>
      <c r="J257" s="469">
        <v>0</v>
      </c>
      <c r="K257" s="545">
        <v>0</v>
      </c>
      <c r="L257" s="470">
        <v>0</v>
      </c>
      <c r="M257" s="545">
        <v>0</v>
      </c>
      <c r="N257" s="428"/>
      <c r="O257" s="430"/>
      <c r="P257" s="418"/>
    </row>
    <row r="258" spans="1:16" s="419" customFormat="1" x14ac:dyDescent="0.3">
      <c r="A258" s="427"/>
      <c r="B258" s="469" t="s">
        <v>145</v>
      </c>
      <c r="C258" s="544"/>
      <c r="D258" s="544"/>
      <c r="E258" s="544"/>
      <c r="F258" s="544"/>
      <c r="G258" s="544"/>
      <c r="H258" s="544"/>
      <c r="I258" s="544"/>
      <c r="J258" s="469">
        <v>0</v>
      </c>
      <c r="K258" s="545">
        <v>0</v>
      </c>
      <c r="L258" s="470">
        <v>0</v>
      </c>
      <c r="M258" s="545">
        <v>0</v>
      </c>
      <c r="N258" s="428"/>
      <c r="O258" s="430"/>
      <c r="P258" s="418"/>
    </row>
    <row r="259" spans="1:16" s="419" customFormat="1" x14ac:dyDescent="0.3">
      <c r="A259" s="427"/>
      <c r="B259" s="469" t="s">
        <v>146</v>
      </c>
      <c r="C259" s="544"/>
      <c r="D259" s="544"/>
      <c r="E259" s="544"/>
      <c r="F259" s="544"/>
      <c r="G259" s="544"/>
      <c r="H259" s="544"/>
      <c r="I259" s="544"/>
      <c r="J259" s="469">
        <v>0</v>
      </c>
      <c r="K259" s="545">
        <v>0</v>
      </c>
      <c r="L259" s="470">
        <v>0</v>
      </c>
      <c r="M259" s="545">
        <v>0</v>
      </c>
      <c r="N259" s="428"/>
      <c r="O259" s="430"/>
      <c r="P259" s="418"/>
    </row>
    <row r="260" spans="1:16" s="419" customFormat="1" x14ac:dyDescent="0.3">
      <c r="A260" s="427"/>
      <c r="B260" s="469" t="s">
        <v>147</v>
      </c>
      <c r="C260" s="544"/>
      <c r="D260" s="544"/>
      <c r="E260" s="544"/>
      <c r="F260" s="544"/>
      <c r="G260" s="544"/>
      <c r="H260" s="544"/>
      <c r="I260" s="544"/>
      <c r="J260" s="469">
        <v>0</v>
      </c>
      <c r="K260" s="545">
        <v>0</v>
      </c>
      <c r="L260" s="470">
        <v>0</v>
      </c>
      <c r="M260" s="545">
        <v>0</v>
      </c>
      <c r="N260" s="428"/>
      <c r="O260" s="430"/>
      <c r="P260" s="418"/>
    </row>
    <row r="261" spans="1:16" s="419" customFormat="1" x14ac:dyDescent="0.3">
      <c r="A261" s="427"/>
      <c r="B261" s="469" t="s">
        <v>227</v>
      </c>
      <c r="C261" s="544"/>
      <c r="D261" s="544"/>
      <c r="E261" s="544"/>
      <c r="F261" s="544"/>
      <c r="G261" s="544"/>
      <c r="H261" s="544"/>
      <c r="I261" s="544"/>
      <c r="J261" s="469">
        <v>0</v>
      </c>
      <c r="K261" s="545">
        <v>0</v>
      </c>
      <c r="L261" s="470">
        <v>0</v>
      </c>
      <c r="M261" s="545">
        <v>0</v>
      </c>
      <c r="N261" s="428"/>
      <c r="O261" s="430"/>
      <c r="P261" s="418"/>
    </row>
    <row r="262" spans="1:16" s="419" customFormat="1" x14ac:dyDescent="0.3">
      <c r="A262" s="427"/>
      <c r="B262" s="469" t="s">
        <v>228</v>
      </c>
      <c r="C262" s="544"/>
      <c r="D262" s="544"/>
      <c r="E262" s="544"/>
      <c r="F262" s="544"/>
      <c r="G262" s="544"/>
      <c r="H262" s="544"/>
      <c r="I262" s="544"/>
      <c r="J262" s="469">
        <v>0</v>
      </c>
      <c r="K262" s="545">
        <v>0</v>
      </c>
      <c r="L262" s="470">
        <v>0</v>
      </c>
      <c r="M262" s="545">
        <v>0</v>
      </c>
      <c r="N262" s="428"/>
      <c r="O262" s="430"/>
      <c r="P262" s="418"/>
    </row>
    <row r="263" spans="1:16" s="419" customFormat="1" x14ac:dyDescent="0.3">
      <c r="A263" s="427"/>
      <c r="B263" s="469" t="s">
        <v>229</v>
      </c>
      <c r="C263" s="544"/>
      <c r="D263" s="544"/>
      <c r="E263" s="544"/>
      <c r="F263" s="544"/>
      <c r="G263" s="544"/>
      <c r="H263" s="544"/>
      <c r="I263" s="544"/>
      <c r="J263" s="469">
        <v>0</v>
      </c>
      <c r="K263" s="545">
        <v>0</v>
      </c>
      <c r="L263" s="470">
        <v>0</v>
      </c>
      <c r="M263" s="545">
        <v>0</v>
      </c>
      <c r="N263" s="428"/>
      <c r="O263" s="430"/>
      <c r="P263" s="418"/>
    </row>
    <row r="264" spans="1:16" s="419" customFormat="1" x14ac:dyDescent="0.3">
      <c r="A264" s="427"/>
      <c r="B264" s="469" t="s">
        <v>230</v>
      </c>
      <c r="C264" s="544"/>
      <c r="D264" s="544"/>
      <c r="E264" s="544"/>
      <c r="F264" s="544"/>
      <c r="G264" s="544"/>
      <c r="H264" s="544"/>
      <c r="I264" s="544"/>
      <c r="J264" s="469">
        <v>0</v>
      </c>
      <c r="K264" s="545">
        <v>0</v>
      </c>
      <c r="L264" s="470">
        <v>0</v>
      </c>
      <c r="M264" s="545">
        <v>0</v>
      </c>
      <c r="N264" s="428"/>
      <c r="O264" s="430"/>
      <c r="P264" s="418"/>
    </row>
    <row r="265" spans="1:16" s="419" customFormat="1" x14ac:dyDescent="0.3">
      <c r="A265" s="427"/>
      <c r="B265" s="469" t="s">
        <v>231</v>
      </c>
      <c r="C265" s="544"/>
      <c r="D265" s="544"/>
      <c r="E265" s="544"/>
      <c r="F265" s="544"/>
      <c r="G265" s="544"/>
      <c r="H265" s="544"/>
      <c r="I265" s="544"/>
      <c r="J265" s="469">
        <v>0</v>
      </c>
      <c r="K265" s="545">
        <v>0</v>
      </c>
      <c r="L265" s="470">
        <v>0</v>
      </c>
      <c r="M265" s="545">
        <v>0</v>
      </c>
      <c r="N265" s="428"/>
      <c r="O265" s="430"/>
      <c r="P265" s="418"/>
    </row>
    <row r="266" spans="1:16" s="419" customFormat="1" x14ac:dyDescent="0.3">
      <c r="A266" s="427"/>
      <c r="B266" s="469" t="s">
        <v>232</v>
      </c>
      <c r="C266" s="544"/>
      <c r="D266" s="544"/>
      <c r="E266" s="544"/>
      <c r="F266" s="544"/>
      <c r="G266" s="544"/>
      <c r="H266" s="544"/>
      <c r="I266" s="544"/>
      <c r="J266" s="469">
        <v>0</v>
      </c>
      <c r="K266" s="545">
        <v>0</v>
      </c>
      <c r="L266" s="470">
        <v>0</v>
      </c>
      <c r="M266" s="545">
        <v>0</v>
      </c>
      <c r="N266" s="428"/>
      <c r="O266" s="430"/>
      <c r="P266" s="418"/>
    </row>
    <row r="267" spans="1:16" s="419" customFormat="1" x14ac:dyDescent="0.3">
      <c r="A267" s="427"/>
      <c r="B267" s="469" t="s">
        <v>233</v>
      </c>
      <c r="C267" s="544"/>
      <c r="D267" s="544"/>
      <c r="E267" s="544"/>
      <c r="F267" s="544"/>
      <c r="G267" s="544"/>
      <c r="H267" s="544"/>
      <c r="I267" s="544"/>
      <c r="J267" s="469">
        <v>0</v>
      </c>
      <c r="K267" s="545">
        <v>0</v>
      </c>
      <c r="L267" s="470">
        <v>0</v>
      </c>
      <c r="M267" s="545">
        <v>0</v>
      </c>
      <c r="N267" s="428"/>
      <c r="O267" s="430"/>
      <c r="P267" s="418"/>
    </row>
    <row r="268" spans="1:16" s="419" customFormat="1" x14ac:dyDescent="0.3">
      <c r="A268" s="427"/>
      <c r="B268" s="469"/>
      <c r="C268" s="544"/>
      <c r="D268" s="544"/>
      <c r="E268" s="544"/>
      <c r="F268" s="544"/>
      <c r="G268" s="544"/>
      <c r="H268" s="544"/>
      <c r="I268" s="544"/>
      <c r="J268" s="469"/>
      <c r="K268" s="545"/>
      <c r="L268" s="470"/>
      <c r="M268" s="545"/>
      <c r="N268" s="428"/>
      <c r="O268" s="430"/>
      <c r="P268" s="418"/>
    </row>
    <row r="269" spans="1:16" s="419" customFormat="1" x14ac:dyDescent="0.3">
      <c r="A269" s="427"/>
      <c r="B269" s="428"/>
      <c r="C269" s="428"/>
      <c r="D269" s="546"/>
      <c r="E269" s="546"/>
      <c r="F269" s="546"/>
      <c r="G269" s="546"/>
      <c r="H269" s="546"/>
      <c r="I269" s="546"/>
      <c r="J269" s="469">
        <f>SUM(J255:J268)</f>
        <v>0</v>
      </c>
      <c r="K269" s="545">
        <f>SUM(K255:K268)</f>
        <v>0</v>
      </c>
      <c r="L269" s="470">
        <f>SUM(L255:L268)</f>
        <v>0</v>
      </c>
      <c r="M269" s="545">
        <f>SUM(M255:M268)</f>
        <v>0</v>
      </c>
      <c r="N269" s="428"/>
      <c r="O269" s="430"/>
      <c r="P269" s="418"/>
    </row>
    <row r="270" spans="1:16" x14ac:dyDescent="0.3">
      <c r="A270" s="404"/>
      <c r="B270" s="476"/>
      <c r="C270" s="476"/>
      <c r="D270" s="549"/>
      <c r="E270" s="549"/>
      <c r="F270" s="549"/>
      <c r="G270" s="549"/>
      <c r="H270" s="549"/>
      <c r="I270" s="549"/>
      <c r="J270" s="477"/>
      <c r="K270" s="550"/>
      <c r="L270" s="498"/>
      <c r="M270" s="550"/>
      <c r="N270" s="476"/>
      <c r="O270" s="476"/>
      <c r="P270" s="402"/>
    </row>
    <row r="271" spans="1:16" x14ac:dyDescent="0.3">
      <c r="A271" s="585"/>
      <c r="B271" s="599" t="s">
        <v>150</v>
      </c>
      <c r="C271" s="591"/>
      <c r="D271" s="621"/>
      <c r="E271" s="621"/>
      <c r="F271" s="621"/>
      <c r="G271" s="621"/>
      <c r="H271" s="621"/>
      <c r="I271" s="621"/>
      <c r="J271" s="619" t="s">
        <v>99</v>
      </c>
      <c r="K271" s="601" t="s">
        <v>100</v>
      </c>
      <c r="L271" s="615" t="s">
        <v>108</v>
      </c>
      <c r="M271" s="601" t="s">
        <v>100</v>
      </c>
      <c r="N271" s="591"/>
      <c r="O271" s="594"/>
      <c r="P271" s="402"/>
    </row>
    <row r="272" spans="1:16" s="419" customFormat="1" x14ac:dyDescent="0.3">
      <c r="A272" s="587"/>
      <c r="B272" s="597" t="s">
        <v>85</v>
      </c>
      <c r="C272" s="588"/>
      <c r="D272" s="622"/>
      <c r="E272" s="622"/>
      <c r="F272" s="622"/>
      <c r="G272" s="622"/>
      <c r="H272" s="622"/>
      <c r="I272" s="622"/>
      <c r="J272" s="597">
        <v>0</v>
      </c>
      <c r="K272" s="617">
        <v>0</v>
      </c>
      <c r="L272" s="598">
        <v>0</v>
      </c>
      <c r="M272" s="617">
        <v>0</v>
      </c>
      <c r="N272" s="588"/>
      <c r="O272" s="590"/>
      <c r="P272" s="418"/>
    </row>
    <row r="273" spans="1:16" s="419" customFormat="1" x14ac:dyDescent="0.3">
      <c r="A273" s="427"/>
      <c r="B273" s="469" t="s">
        <v>86</v>
      </c>
      <c r="C273" s="428"/>
      <c r="D273" s="546"/>
      <c r="E273" s="546"/>
      <c r="F273" s="546"/>
      <c r="G273" s="546"/>
      <c r="H273" s="546"/>
      <c r="I273" s="546"/>
      <c r="J273" s="469">
        <v>0</v>
      </c>
      <c r="K273" s="545">
        <v>0</v>
      </c>
      <c r="L273" s="470">
        <v>0</v>
      </c>
      <c r="M273" s="545">
        <v>0</v>
      </c>
      <c r="N273" s="428"/>
      <c r="O273" s="430"/>
      <c r="P273" s="418"/>
    </row>
    <row r="274" spans="1:16" s="419" customFormat="1" x14ac:dyDescent="0.3">
      <c r="A274" s="427"/>
      <c r="B274" s="469" t="s">
        <v>87</v>
      </c>
      <c r="C274" s="428"/>
      <c r="D274" s="546"/>
      <c r="E274" s="546"/>
      <c r="F274" s="546"/>
      <c r="G274" s="546"/>
      <c r="H274" s="546"/>
      <c r="I274" s="546"/>
      <c r="J274" s="469">
        <v>0</v>
      </c>
      <c r="K274" s="545">
        <v>0</v>
      </c>
      <c r="L274" s="470">
        <v>0</v>
      </c>
      <c r="M274" s="545">
        <v>0</v>
      </c>
      <c r="N274" s="428"/>
      <c r="O274" s="430"/>
      <c r="P274" s="418"/>
    </row>
    <row r="275" spans="1:16" s="419" customFormat="1" x14ac:dyDescent="0.3">
      <c r="A275" s="427"/>
      <c r="B275" s="469" t="s">
        <v>145</v>
      </c>
      <c r="C275" s="428"/>
      <c r="D275" s="546"/>
      <c r="E275" s="546"/>
      <c r="F275" s="546"/>
      <c r="G275" s="546"/>
      <c r="H275" s="546"/>
      <c r="I275" s="546"/>
      <c r="J275" s="469">
        <v>0</v>
      </c>
      <c r="K275" s="545">
        <v>0</v>
      </c>
      <c r="L275" s="470">
        <v>0</v>
      </c>
      <c r="M275" s="545">
        <v>0</v>
      </c>
      <c r="N275" s="428"/>
      <c r="O275" s="430"/>
      <c r="P275" s="418"/>
    </row>
    <row r="276" spans="1:16" s="419" customFormat="1" x14ac:dyDescent="0.3">
      <c r="A276" s="427"/>
      <c r="B276" s="469" t="s">
        <v>146</v>
      </c>
      <c r="C276" s="428"/>
      <c r="D276" s="546"/>
      <c r="E276" s="546"/>
      <c r="F276" s="546"/>
      <c r="G276" s="546"/>
      <c r="H276" s="546"/>
      <c r="I276" s="546"/>
      <c r="J276" s="469">
        <v>0</v>
      </c>
      <c r="K276" s="545">
        <v>0</v>
      </c>
      <c r="L276" s="470">
        <v>0</v>
      </c>
      <c r="M276" s="545">
        <v>0</v>
      </c>
      <c r="N276" s="428"/>
      <c r="O276" s="430"/>
      <c r="P276" s="418"/>
    </row>
    <row r="277" spans="1:16" s="419" customFormat="1" x14ac:dyDescent="0.3">
      <c r="A277" s="427"/>
      <c r="B277" s="469" t="s">
        <v>147</v>
      </c>
      <c r="C277" s="428"/>
      <c r="D277" s="546"/>
      <c r="E277" s="546"/>
      <c r="F277" s="546"/>
      <c r="G277" s="546"/>
      <c r="H277" s="546"/>
      <c r="I277" s="546"/>
      <c r="J277" s="469">
        <v>0</v>
      </c>
      <c r="K277" s="545">
        <v>0</v>
      </c>
      <c r="L277" s="470">
        <v>0</v>
      </c>
      <c r="M277" s="545">
        <v>0</v>
      </c>
      <c r="N277" s="428"/>
      <c r="O277" s="430"/>
      <c r="P277" s="418"/>
    </row>
    <row r="278" spans="1:16" s="419" customFormat="1" x14ac:dyDescent="0.3">
      <c r="A278" s="427"/>
      <c r="B278" s="469" t="s">
        <v>227</v>
      </c>
      <c r="C278" s="428"/>
      <c r="D278" s="546"/>
      <c r="E278" s="546"/>
      <c r="F278" s="546"/>
      <c r="G278" s="546"/>
      <c r="H278" s="546"/>
      <c r="I278" s="546"/>
      <c r="J278" s="469">
        <v>0</v>
      </c>
      <c r="K278" s="545">
        <v>0</v>
      </c>
      <c r="L278" s="470">
        <v>0</v>
      </c>
      <c r="M278" s="545">
        <v>0</v>
      </c>
      <c r="N278" s="428"/>
      <c r="O278" s="430"/>
      <c r="P278" s="418"/>
    </row>
    <row r="279" spans="1:16" s="419" customFormat="1" x14ac:dyDescent="0.3">
      <c r="A279" s="427"/>
      <c r="B279" s="469" t="s">
        <v>228</v>
      </c>
      <c r="C279" s="428"/>
      <c r="D279" s="546"/>
      <c r="E279" s="546"/>
      <c r="F279" s="546"/>
      <c r="G279" s="546"/>
      <c r="H279" s="546"/>
      <c r="I279" s="546"/>
      <c r="J279" s="469">
        <v>0</v>
      </c>
      <c r="K279" s="545">
        <v>0</v>
      </c>
      <c r="L279" s="470">
        <v>0</v>
      </c>
      <c r="M279" s="545">
        <v>0</v>
      </c>
      <c r="N279" s="428"/>
      <c r="O279" s="430"/>
      <c r="P279" s="418"/>
    </row>
    <row r="280" spans="1:16" s="419" customFormat="1" x14ac:dyDescent="0.3">
      <c r="A280" s="427"/>
      <c r="B280" s="469" t="s">
        <v>229</v>
      </c>
      <c r="C280" s="428"/>
      <c r="D280" s="546"/>
      <c r="E280" s="546"/>
      <c r="F280" s="546"/>
      <c r="G280" s="546"/>
      <c r="H280" s="546"/>
      <c r="I280" s="546"/>
      <c r="J280" s="469">
        <v>1</v>
      </c>
      <c r="K280" s="545">
        <v>1</v>
      </c>
      <c r="L280" s="470">
        <v>110</v>
      </c>
      <c r="M280" s="545">
        <v>1</v>
      </c>
      <c r="N280" s="428"/>
      <c r="O280" s="430"/>
      <c r="P280" s="418"/>
    </row>
    <row r="281" spans="1:16" s="419" customFormat="1" x14ac:dyDescent="0.3">
      <c r="A281" s="427"/>
      <c r="B281" s="469" t="s">
        <v>230</v>
      </c>
      <c r="C281" s="428"/>
      <c r="D281" s="546"/>
      <c r="E281" s="546"/>
      <c r="F281" s="546"/>
      <c r="G281" s="546"/>
      <c r="H281" s="546"/>
      <c r="I281" s="546"/>
      <c r="J281" s="469">
        <v>0</v>
      </c>
      <c r="K281" s="545">
        <v>0</v>
      </c>
      <c r="L281" s="470">
        <v>0</v>
      </c>
      <c r="M281" s="545">
        <v>0</v>
      </c>
      <c r="N281" s="428"/>
      <c r="O281" s="430"/>
      <c r="P281" s="418"/>
    </row>
    <row r="282" spans="1:16" s="419" customFormat="1" x14ac:dyDescent="0.3">
      <c r="A282" s="427"/>
      <c r="B282" s="469" t="s">
        <v>231</v>
      </c>
      <c r="C282" s="428"/>
      <c r="D282" s="546"/>
      <c r="E282" s="546"/>
      <c r="F282" s="546"/>
      <c r="G282" s="546"/>
      <c r="H282" s="546"/>
      <c r="I282" s="546"/>
      <c r="J282" s="469">
        <v>0</v>
      </c>
      <c r="K282" s="545">
        <v>0</v>
      </c>
      <c r="L282" s="470">
        <v>0</v>
      </c>
      <c r="M282" s="545">
        <v>0</v>
      </c>
      <c r="N282" s="428"/>
      <c r="O282" s="430"/>
      <c r="P282" s="418"/>
    </row>
    <row r="283" spans="1:16" s="419" customFormat="1" x14ac:dyDescent="0.3">
      <c r="A283" s="427"/>
      <c r="B283" s="469" t="s">
        <v>232</v>
      </c>
      <c r="C283" s="428"/>
      <c r="D283" s="546"/>
      <c r="E283" s="546"/>
      <c r="F283" s="546"/>
      <c r="G283" s="546"/>
      <c r="H283" s="546"/>
      <c r="I283" s="546"/>
      <c r="J283" s="469">
        <v>0</v>
      </c>
      <c r="K283" s="545">
        <v>0</v>
      </c>
      <c r="L283" s="470">
        <v>0</v>
      </c>
      <c r="M283" s="545">
        <v>0</v>
      </c>
      <c r="N283" s="428"/>
      <c r="O283" s="430"/>
      <c r="P283" s="418"/>
    </row>
    <row r="284" spans="1:16" s="419" customFormat="1" x14ac:dyDescent="0.3">
      <c r="A284" s="427"/>
      <c r="B284" s="469" t="s">
        <v>233</v>
      </c>
      <c r="C284" s="428"/>
      <c r="D284" s="546"/>
      <c r="E284" s="546"/>
      <c r="F284" s="546"/>
      <c r="G284" s="546"/>
      <c r="H284" s="546"/>
      <c r="I284" s="546"/>
      <c r="J284" s="469">
        <v>0</v>
      </c>
      <c r="K284" s="545">
        <v>0</v>
      </c>
      <c r="L284" s="470">
        <v>0</v>
      </c>
      <c r="M284" s="545">
        <v>0</v>
      </c>
      <c r="N284" s="428"/>
      <c r="O284" s="430"/>
      <c r="P284" s="418"/>
    </row>
    <row r="285" spans="1:16" s="419" customFormat="1" x14ac:dyDescent="0.3">
      <c r="A285" s="427"/>
      <c r="B285" s="469"/>
      <c r="C285" s="428"/>
      <c r="D285" s="546"/>
      <c r="E285" s="546"/>
      <c r="F285" s="546"/>
      <c r="G285" s="546"/>
      <c r="H285" s="546"/>
      <c r="I285" s="546"/>
      <c r="J285" s="469"/>
      <c r="K285" s="545"/>
      <c r="L285" s="470"/>
      <c r="M285" s="545"/>
      <c r="N285" s="428"/>
      <c r="O285" s="430"/>
      <c r="P285" s="418"/>
    </row>
    <row r="286" spans="1:16" s="419" customFormat="1" x14ac:dyDescent="0.3">
      <c r="A286" s="427"/>
      <c r="B286" s="428" t="s">
        <v>114</v>
      </c>
      <c r="C286" s="428"/>
      <c r="D286" s="546"/>
      <c r="E286" s="546"/>
      <c r="F286" s="546"/>
      <c r="G286" s="546"/>
      <c r="H286" s="546"/>
      <c r="I286" s="546"/>
      <c r="J286" s="469">
        <f>SUM(J272:J284)</f>
        <v>1</v>
      </c>
      <c r="K286" s="545">
        <f>SUM(K272:K284)</f>
        <v>1</v>
      </c>
      <c r="L286" s="470">
        <f>SUM(L272:L284)</f>
        <v>110</v>
      </c>
      <c r="M286" s="545">
        <f>SUM(M272:M284)</f>
        <v>1</v>
      </c>
      <c r="N286" s="428"/>
      <c r="O286" s="430"/>
      <c r="P286" s="418"/>
    </row>
    <row r="287" spans="1:16" s="419" customFormat="1" x14ac:dyDescent="0.3">
      <c r="A287" s="427"/>
      <c r="B287" s="428"/>
      <c r="C287" s="428"/>
      <c r="D287" s="546"/>
      <c r="E287" s="546"/>
      <c r="F287" s="546"/>
      <c r="G287" s="546"/>
      <c r="H287" s="546"/>
      <c r="I287" s="546"/>
      <c r="J287" s="469"/>
      <c r="K287" s="545"/>
      <c r="L287" s="470"/>
      <c r="M287" s="545"/>
      <c r="N287" s="428"/>
      <c r="O287" s="430"/>
      <c r="P287" s="418"/>
    </row>
    <row r="288" spans="1:16" s="419" customFormat="1" x14ac:dyDescent="0.3">
      <c r="A288" s="427"/>
      <c r="B288" s="433" t="s">
        <v>151</v>
      </c>
      <c r="C288" s="428"/>
      <c r="D288" s="546"/>
      <c r="E288" s="546"/>
      <c r="F288" s="546"/>
      <c r="G288" s="546"/>
      <c r="H288" s="546"/>
      <c r="I288" s="546"/>
      <c r="J288" s="551">
        <f>J286+J269+J252</f>
        <v>365</v>
      </c>
      <c r="K288" s="545"/>
      <c r="L288" s="552">
        <f>+L286+L269+L252</f>
        <v>13011</v>
      </c>
      <c r="M288" s="545"/>
      <c r="N288" s="428"/>
      <c r="O288" s="430"/>
      <c r="P288" s="418"/>
    </row>
    <row r="289" spans="1:16" s="419" customFormat="1" x14ac:dyDescent="0.3">
      <c r="A289" s="415"/>
      <c r="B289" s="458"/>
      <c r="C289" s="458"/>
      <c r="D289" s="553"/>
      <c r="E289" s="553"/>
      <c r="F289" s="553"/>
      <c r="G289" s="553"/>
      <c r="H289" s="553"/>
      <c r="I289" s="553"/>
      <c r="J289" s="553"/>
      <c r="K289" s="553"/>
      <c r="L289" s="554"/>
      <c r="M289" s="553"/>
      <c r="N289" s="458"/>
      <c r="O289" s="458"/>
      <c r="P289" s="418"/>
    </row>
    <row r="290" spans="1:16" s="419" customFormat="1" x14ac:dyDescent="0.3">
      <c r="A290" s="415"/>
      <c r="B290" s="416"/>
      <c r="C290" s="416"/>
      <c r="D290" s="555"/>
      <c r="E290" s="555"/>
      <c r="F290" s="555"/>
      <c r="G290" s="555"/>
      <c r="H290" s="555"/>
      <c r="I290" s="555"/>
      <c r="J290" s="555"/>
      <c r="K290" s="555"/>
      <c r="L290" s="556"/>
      <c r="M290" s="555"/>
      <c r="N290" s="416"/>
      <c r="O290" s="416"/>
      <c r="P290" s="418"/>
    </row>
    <row r="291" spans="1:16" s="419" customFormat="1" x14ac:dyDescent="0.3">
      <c r="A291" s="415"/>
      <c r="B291" s="414" t="s">
        <v>88</v>
      </c>
      <c r="C291" s="416"/>
      <c r="D291" s="422" t="s">
        <v>94</v>
      </c>
      <c r="E291" s="416"/>
      <c r="F291" s="414" t="s">
        <v>96</v>
      </c>
      <c r="G291" s="416"/>
      <c r="H291" s="416"/>
      <c r="I291" s="416"/>
      <c r="J291" s="422"/>
      <c r="K291" s="416"/>
      <c r="L291" s="414"/>
      <c r="M291" s="416"/>
      <c r="N291" s="416"/>
      <c r="O291" s="416"/>
      <c r="P291" s="418"/>
    </row>
    <row r="292" spans="1:16" s="419" customFormat="1" x14ac:dyDescent="0.3">
      <c r="A292" s="415"/>
      <c r="B292" s="416"/>
      <c r="C292" s="416"/>
      <c r="D292" s="416"/>
      <c r="E292" s="416"/>
      <c r="F292" s="416"/>
      <c r="G292" s="416"/>
      <c r="H292" s="416"/>
      <c r="I292" s="416"/>
      <c r="J292" s="416"/>
      <c r="K292" s="416"/>
      <c r="L292" s="416"/>
      <c r="M292" s="416"/>
      <c r="N292" s="416"/>
      <c r="O292" s="416"/>
      <c r="P292" s="418"/>
    </row>
    <row r="293" spans="1:16" s="419" customFormat="1" x14ac:dyDescent="0.3">
      <c r="A293" s="557"/>
      <c r="B293" s="414" t="s">
        <v>273</v>
      </c>
      <c r="C293" s="414"/>
      <c r="D293" s="558" t="s">
        <v>240</v>
      </c>
      <c r="E293" s="558"/>
      <c r="F293" s="623" t="s">
        <v>295</v>
      </c>
      <c r="G293" s="414"/>
      <c r="H293" s="416"/>
      <c r="I293" s="416"/>
      <c r="J293" s="558"/>
      <c r="K293" s="414"/>
      <c r="L293" s="414"/>
      <c r="M293" s="416"/>
      <c r="N293" s="416"/>
      <c r="O293" s="416"/>
      <c r="P293" s="418"/>
    </row>
    <row r="294" spans="1:16" s="419" customFormat="1" x14ac:dyDescent="0.3">
      <c r="A294" s="415"/>
      <c r="B294" s="414" t="s">
        <v>274</v>
      </c>
      <c r="C294" s="414"/>
      <c r="D294" s="558" t="s">
        <v>137</v>
      </c>
      <c r="E294" s="414"/>
      <c r="F294" s="623" t="s">
        <v>296</v>
      </c>
      <c r="G294" s="416"/>
      <c r="H294" s="416"/>
      <c r="I294" s="416"/>
      <c r="J294" s="558"/>
      <c r="K294" s="414"/>
      <c r="L294" s="414"/>
      <c r="M294" s="416"/>
      <c r="N294" s="416"/>
      <c r="O294" s="416"/>
      <c r="P294" s="418"/>
    </row>
    <row r="295" spans="1:16" s="419" customFormat="1" x14ac:dyDescent="0.3">
      <c r="A295" s="415"/>
      <c r="B295" s="414"/>
      <c r="C295" s="414"/>
      <c r="D295" s="416"/>
      <c r="E295" s="416"/>
      <c r="F295" s="416"/>
      <c r="G295" s="416"/>
      <c r="H295" s="416"/>
      <c r="I295" s="416"/>
      <c r="J295" s="416"/>
      <c r="K295" s="416"/>
      <c r="L295" s="416"/>
      <c r="M295" s="416"/>
      <c r="N295" s="416"/>
      <c r="O295" s="416"/>
      <c r="P295" s="418"/>
    </row>
    <row r="296" spans="1:16" s="419" customFormat="1" x14ac:dyDescent="0.3">
      <c r="A296" s="415"/>
      <c r="B296" s="414"/>
      <c r="C296" s="414"/>
      <c r="D296" s="416"/>
      <c r="E296" s="416"/>
      <c r="F296" s="416"/>
      <c r="G296" s="416"/>
      <c r="H296" s="416"/>
      <c r="I296" s="416"/>
      <c r="J296" s="416"/>
      <c r="K296" s="416"/>
      <c r="L296" s="416"/>
      <c r="M296" s="416"/>
      <c r="N296" s="416"/>
      <c r="O296" s="416"/>
      <c r="P296" s="418"/>
    </row>
    <row r="297" spans="1:16" s="419" customFormat="1" ht="18.600000000000001" thickBot="1" x14ac:dyDescent="0.4">
      <c r="A297" s="415"/>
      <c r="B297" s="559" t="str">
        <f>B182</f>
        <v>FF7 INVESTOR REPORT QUARTER ENDING MAY 2018</v>
      </c>
      <c r="C297" s="414"/>
      <c r="D297" s="416"/>
      <c r="E297" s="416"/>
      <c r="F297" s="416"/>
      <c r="G297" s="416"/>
      <c r="H297" s="416"/>
      <c r="I297" s="416"/>
      <c r="J297" s="416"/>
      <c r="K297" s="416"/>
      <c r="L297" s="416"/>
      <c r="M297" s="416"/>
      <c r="N297" s="416"/>
      <c r="O297" s="416"/>
      <c r="P297" s="418"/>
    </row>
    <row r="298" spans="1:16" x14ac:dyDescent="0.3">
      <c r="A298" s="560"/>
      <c r="B298" s="560"/>
      <c r="C298" s="560"/>
      <c r="D298" s="560"/>
      <c r="E298" s="560"/>
      <c r="F298" s="560"/>
      <c r="G298" s="560"/>
      <c r="H298" s="560"/>
      <c r="I298" s="560"/>
      <c r="J298" s="560"/>
      <c r="K298" s="560"/>
      <c r="L298" s="560"/>
      <c r="M298" s="560"/>
      <c r="N298" s="560"/>
      <c r="O298" s="560"/>
    </row>
  </sheetData>
  <hyperlinks>
    <hyperlink ref="K9" r:id="rId1"/>
    <hyperlink ref="K218" r:id="rId2"/>
  </hyperlinks>
  <printOptions horizontalCentered="1" verticalCentered="1"/>
  <pageMargins left="0.19685039370078741" right="0.19685039370078741" top="0.27559055118110237" bottom="0.27559055118110237" header="0" footer="0"/>
  <pageSetup scale="53" orientation="landscape" r:id="rId3"/>
  <headerFooter alignWithMargins="0"/>
  <rowBreaks count="3" manualBreakCount="3">
    <brk id="52" max="14" man="1"/>
    <brk id="115" max="14" man="1"/>
    <brk id="182" max="14" man="1"/>
  </rowBreaks>
  <colBreaks count="1" manualBreakCount="1">
    <brk id="15" max="298" man="1"/>
  </colBreaks>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V298"/>
  <sheetViews>
    <sheetView showGridLines="0" showOutlineSymbols="0" zoomScale="80" zoomScaleNormal="80" workbookViewId="0"/>
  </sheetViews>
  <sheetFormatPr defaultColWidth="9.6328125" defaultRowHeight="15.6" x14ac:dyDescent="0.3"/>
  <cols>
    <col min="1" max="1" width="4" style="403" customWidth="1"/>
    <col min="2" max="2" width="75.1796875" style="403" customWidth="1"/>
    <col min="3" max="3" width="2.1796875" style="403" customWidth="1"/>
    <col min="4" max="4" width="17.90625" style="403" customWidth="1"/>
    <col min="5" max="5" width="2.36328125" style="403" customWidth="1"/>
    <col min="6" max="6" width="13.08984375" style="403" customWidth="1"/>
    <col min="7" max="7" width="2.36328125" style="403" customWidth="1"/>
    <col min="8" max="8" width="15.54296875" style="403" customWidth="1"/>
    <col min="9" max="9" width="2.1796875" style="403" customWidth="1"/>
    <col min="10" max="10" width="15.54296875" style="403" customWidth="1"/>
    <col min="11" max="12" width="12.6328125" style="403" customWidth="1"/>
    <col min="13" max="13" width="7.81640625" style="403" customWidth="1"/>
    <col min="14" max="14" width="14.6328125" style="403" customWidth="1"/>
    <col min="15" max="15" width="11.81640625" style="403" customWidth="1"/>
    <col min="16" max="16384" width="9.6328125" style="403"/>
  </cols>
  <sheetData>
    <row r="1" spans="1:16" ht="21" x14ac:dyDescent="0.4">
      <c r="A1" s="399"/>
      <c r="B1" s="400" t="s">
        <v>184</v>
      </c>
      <c r="C1" s="401"/>
      <c r="D1" s="401"/>
      <c r="E1" s="401"/>
      <c r="F1" s="401"/>
      <c r="G1" s="401"/>
      <c r="H1" s="401"/>
      <c r="I1" s="401"/>
      <c r="J1" s="401"/>
      <c r="K1" s="401"/>
      <c r="L1" s="401"/>
      <c r="M1" s="401"/>
      <c r="N1" s="401"/>
      <c r="O1" s="401"/>
      <c r="P1" s="402"/>
    </row>
    <row r="2" spans="1:16" x14ac:dyDescent="0.3">
      <c r="A2" s="404"/>
      <c r="B2" s="405"/>
      <c r="C2" s="406"/>
      <c r="D2" s="406"/>
      <c r="E2" s="406"/>
      <c r="F2" s="406"/>
      <c r="G2" s="406"/>
      <c r="H2" s="406"/>
      <c r="I2" s="406"/>
      <c r="J2" s="406"/>
      <c r="K2" s="406"/>
      <c r="L2" s="406"/>
      <c r="M2" s="406"/>
      <c r="N2" s="406"/>
      <c r="O2" s="406"/>
      <c r="P2" s="402"/>
    </row>
    <row r="3" spans="1:16" x14ac:dyDescent="0.3">
      <c r="A3" s="407"/>
      <c r="B3" s="408" t="s">
        <v>185</v>
      </c>
      <c r="C3" s="406"/>
      <c r="D3" s="406"/>
      <c r="E3" s="406"/>
      <c r="F3" s="406"/>
      <c r="G3" s="406"/>
      <c r="H3" s="406"/>
      <c r="I3" s="406"/>
      <c r="J3" s="406"/>
      <c r="K3" s="406"/>
      <c r="L3" s="406"/>
      <c r="M3" s="406"/>
      <c r="N3" s="406"/>
      <c r="O3" s="406"/>
      <c r="P3" s="402"/>
    </row>
    <row r="4" spans="1:16" x14ac:dyDescent="0.3">
      <c r="A4" s="404"/>
      <c r="B4" s="405"/>
      <c r="C4" s="406"/>
      <c r="D4" s="406"/>
      <c r="E4" s="406"/>
      <c r="F4" s="406"/>
      <c r="G4" s="406"/>
      <c r="H4" s="406"/>
      <c r="I4" s="406"/>
      <c r="J4" s="406"/>
      <c r="K4" s="406"/>
      <c r="L4" s="406"/>
      <c r="M4" s="406"/>
      <c r="N4" s="406"/>
      <c r="O4" s="406"/>
      <c r="P4" s="402"/>
    </row>
    <row r="5" spans="1:16" x14ac:dyDescent="0.3">
      <c r="A5" s="404"/>
      <c r="B5" s="409" t="s">
        <v>243</v>
      </c>
      <c r="C5" s="406"/>
      <c r="D5" s="406"/>
      <c r="E5" s="406"/>
      <c r="F5" s="406"/>
      <c r="G5" s="406"/>
      <c r="H5" s="406"/>
      <c r="I5" s="406"/>
      <c r="J5" s="406"/>
      <c r="K5" s="406"/>
      <c r="L5" s="406"/>
      <c r="M5" s="406"/>
      <c r="N5" s="406"/>
      <c r="O5" s="406"/>
      <c r="P5" s="402"/>
    </row>
    <row r="6" spans="1:16" x14ac:dyDescent="0.3">
      <c r="A6" s="404"/>
      <c r="B6" s="409" t="s">
        <v>187</v>
      </c>
      <c r="C6" s="406"/>
      <c r="D6" s="406"/>
      <c r="E6" s="406"/>
      <c r="F6" s="406"/>
      <c r="G6" s="406"/>
      <c r="H6" s="406"/>
      <c r="I6" s="406"/>
      <c r="J6" s="406"/>
      <c r="K6" s="406"/>
      <c r="L6" s="406"/>
      <c r="M6" s="406"/>
      <c r="N6" s="406"/>
      <c r="O6" s="406"/>
      <c r="P6" s="402"/>
    </row>
    <row r="7" spans="1:16" x14ac:dyDescent="0.3">
      <c r="A7" s="404"/>
      <c r="B7" s="409" t="s">
        <v>188</v>
      </c>
      <c r="C7" s="406"/>
      <c r="D7" s="406"/>
      <c r="E7" s="406"/>
      <c r="F7" s="406"/>
      <c r="G7" s="406"/>
      <c r="H7" s="406"/>
      <c r="I7" s="406"/>
      <c r="J7" s="406"/>
      <c r="K7" s="406"/>
      <c r="L7" s="406"/>
      <c r="M7" s="406"/>
      <c r="N7" s="406"/>
      <c r="O7" s="406"/>
      <c r="P7" s="402"/>
    </row>
    <row r="8" spans="1:16" x14ac:dyDescent="0.3">
      <c r="A8" s="404"/>
      <c r="B8" s="410"/>
      <c r="C8" s="406"/>
      <c r="D8" s="406"/>
      <c r="E8" s="406"/>
      <c r="F8" s="406"/>
      <c r="G8" s="406"/>
      <c r="H8" s="406"/>
      <c r="I8" s="406"/>
      <c r="J8" s="406"/>
      <c r="K8" s="406"/>
      <c r="L8" s="406"/>
      <c r="M8" s="406"/>
      <c r="N8" s="406"/>
      <c r="O8" s="406"/>
      <c r="P8" s="402"/>
    </row>
    <row r="9" spans="1:16" ht="18" x14ac:dyDescent="0.35">
      <c r="A9" s="404"/>
      <c r="B9" s="411" t="s">
        <v>153</v>
      </c>
      <c r="C9" s="406"/>
      <c r="D9" s="412"/>
      <c r="E9" s="406"/>
      <c r="F9" s="412"/>
      <c r="G9" s="406"/>
      <c r="H9" s="406"/>
      <c r="I9" s="406"/>
      <c r="J9" s="406"/>
      <c r="K9" s="398" t="s">
        <v>293</v>
      </c>
      <c r="L9" s="406"/>
      <c r="M9" s="406"/>
      <c r="N9" s="406"/>
      <c r="O9" s="406"/>
      <c r="P9" s="402"/>
    </row>
    <row r="10" spans="1:16" x14ac:dyDescent="0.3">
      <c r="A10" s="404"/>
      <c r="B10" s="410"/>
      <c r="C10" s="413"/>
      <c r="D10" s="406"/>
      <c r="E10" s="406"/>
      <c r="F10" s="406"/>
      <c r="G10" s="406"/>
      <c r="H10" s="406"/>
      <c r="I10" s="406"/>
      <c r="J10" s="406"/>
      <c r="K10" s="406"/>
      <c r="L10" s="406"/>
      <c r="M10" s="406"/>
      <c r="N10" s="406"/>
      <c r="O10" s="406"/>
      <c r="P10" s="402"/>
    </row>
    <row r="11" spans="1:16" x14ac:dyDescent="0.3">
      <c r="A11" s="404"/>
      <c r="B11" s="414" t="s">
        <v>0</v>
      </c>
      <c r="C11" s="406"/>
      <c r="D11" s="406"/>
      <c r="E11" s="406"/>
      <c r="F11" s="406"/>
      <c r="G11" s="406"/>
      <c r="H11" s="406"/>
      <c r="I11" s="406"/>
      <c r="J11" s="406"/>
      <c r="K11" s="406"/>
      <c r="L11" s="406"/>
      <c r="M11" s="406"/>
      <c r="N11" s="406"/>
      <c r="O11" s="406"/>
      <c r="P11" s="402"/>
    </row>
    <row r="12" spans="1:16" ht="16.2" thickBot="1" x14ac:dyDescent="0.35">
      <c r="A12" s="404"/>
      <c r="B12" s="413"/>
      <c r="C12" s="406"/>
      <c r="D12" s="406"/>
      <c r="E12" s="406"/>
      <c r="F12" s="406"/>
      <c r="G12" s="406"/>
      <c r="H12" s="406"/>
      <c r="I12" s="406"/>
      <c r="J12" s="406"/>
      <c r="K12" s="406"/>
      <c r="L12" s="406"/>
      <c r="M12" s="406"/>
      <c r="N12" s="406"/>
      <c r="O12" s="406"/>
      <c r="P12" s="402"/>
    </row>
    <row r="13" spans="1:16" x14ac:dyDescent="0.3">
      <c r="A13" s="399"/>
      <c r="B13" s="401"/>
      <c r="C13" s="401"/>
      <c r="D13" s="401"/>
      <c r="E13" s="401"/>
      <c r="F13" s="401"/>
      <c r="G13" s="401"/>
      <c r="H13" s="401"/>
      <c r="I13" s="401"/>
      <c r="J13" s="401"/>
      <c r="K13" s="401"/>
      <c r="L13" s="401"/>
      <c r="M13" s="401"/>
      <c r="N13" s="401"/>
      <c r="O13" s="401"/>
      <c r="P13" s="402"/>
    </row>
    <row r="14" spans="1:16" s="419" customFormat="1" x14ac:dyDescent="0.3">
      <c r="A14" s="415"/>
      <c r="B14" s="414" t="s">
        <v>1</v>
      </c>
      <c r="C14" s="416"/>
      <c r="D14" s="416"/>
      <c r="E14" s="416"/>
      <c r="F14" s="416"/>
      <c r="G14" s="416"/>
      <c r="H14" s="416"/>
      <c r="I14" s="416"/>
      <c r="J14" s="416"/>
      <c r="K14" s="416"/>
      <c r="L14" s="416"/>
      <c r="M14" s="416"/>
      <c r="N14" s="417" t="s">
        <v>186</v>
      </c>
      <c r="O14" s="416"/>
      <c r="P14" s="418"/>
    </row>
    <row r="15" spans="1:16" s="419" customFormat="1" x14ac:dyDescent="0.3">
      <c r="A15" s="415"/>
      <c r="B15" s="414" t="s">
        <v>2</v>
      </c>
      <c r="C15" s="416"/>
      <c r="D15" s="420"/>
      <c r="E15" s="420"/>
      <c r="F15" s="420"/>
      <c r="G15" s="420"/>
      <c r="H15" s="420"/>
      <c r="I15" s="420"/>
      <c r="J15" s="420" t="s">
        <v>101</v>
      </c>
      <c r="K15" s="421">
        <v>4.07E-2</v>
      </c>
      <c r="L15" s="422" t="s">
        <v>133</v>
      </c>
      <c r="M15" s="421">
        <v>0.95930000000000004</v>
      </c>
      <c r="N15" s="417"/>
      <c r="O15" s="416"/>
      <c r="P15" s="418"/>
    </row>
    <row r="16" spans="1:16" s="419" customFormat="1" x14ac:dyDescent="0.3">
      <c r="A16" s="415"/>
      <c r="B16" s="414" t="s">
        <v>3</v>
      </c>
      <c r="C16" s="416"/>
      <c r="D16" s="420"/>
      <c r="E16" s="420"/>
      <c r="F16" s="420"/>
      <c r="G16" s="420"/>
      <c r="H16" s="420"/>
      <c r="I16" s="420"/>
      <c r="J16" s="420" t="s">
        <v>101</v>
      </c>
      <c r="K16" s="421">
        <v>0.20760000000000001</v>
      </c>
      <c r="L16" s="422" t="s">
        <v>133</v>
      </c>
      <c r="M16" s="421">
        <v>0.79239999999999999</v>
      </c>
      <c r="N16" s="417"/>
      <c r="O16" s="416"/>
      <c r="P16" s="418"/>
    </row>
    <row r="17" spans="1:16" s="419" customFormat="1" x14ac:dyDescent="0.3">
      <c r="A17" s="415"/>
      <c r="B17" s="414" t="s">
        <v>4</v>
      </c>
      <c r="C17" s="416"/>
      <c r="D17" s="416"/>
      <c r="E17" s="416"/>
      <c r="F17" s="416"/>
      <c r="G17" s="416"/>
      <c r="H17" s="416"/>
      <c r="I17" s="416"/>
      <c r="J17" s="416"/>
      <c r="K17" s="416"/>
      <c r="L17" s="416"/>
      <c r="M17" s="416"/>
      <c r="N17" s="423">
        <v>39107</v>
      </c>
      <c r="O17" s="416"/>
      <c r="P17" s="418"/>
    </row>
    <row r="18" spans="1:16" s="419" customFormat="1" x14ac:dyDescent="0.3">
      <c r="A18" s="415"/>
      <c r="B18" s="414" t="s">
        <v>5</v>
      </c>
      <c r="C18" s="416"/>
      <c r="D18" s="416"/>
      <c r="E18" s="416"/>
      <c r="F18" s="416"/>
      <c r="G18" s="416"/>
      <c r="H18" s="416"/>
      <c r="I18" s="416"/>
      <c r="J18" s="416"/>
      <c r="K18" s="416"/>
      <c r="L18" s="416"/>
      <c r="M18" s="416"/>
      <c r="N18" s="423">
        <v>43364</v>
      </c>
      <c r="O18" s="416"/>
      <c r="P18" s="418"/>
    </row>
    <row r="19" spans="1:16" s="419" customFormat="1" x14ac:dyDescent="0.3">
      <c r="A19" s="415"/>
      <c r="B19" s="416"/>
      <c r="C19" s="416"/>
      <c r="D19" s="416"/>
      <c r="E19" s="416"/>
      <c r="F19" s="416"/>
      <c r="G19" s="416"/>
      <c r="H19" s="416"/>
      <c r="I19" s="416"/>
      <c r="J19" s="416"/>
      <c r="K19" s="416"/>
      <c r="L19" s="416"/>
      <c r="M19" s="416"/>
      <c r="N19" s="424"/>
      <c r="O19" s="416"/>
      <c r="P19" s="418"/>
    </row>
    <row r="20" spans="1:16" s="419" customFormat="1" x14ac:dyDescent="0.3">
      <c r="A20" s="415"/>
      <c r="B20" s="425" t="s">
        <v>6</v>
      </c>
      <c r="C20" s="416"/>
      <c r="D20" s="416"/>
      <c r="E20" s="416"/>
      <c r="F20" s="416"/>
      <c r="G20" s="416"/>
      <c r="H20" s="416"/>
      <c r="I20" s="416"/>
      <c r="J20" s="416"/>
      <c r="K20" s="416"/>
      <c r="L20" s="424" t="s">
        <v>102</v>
      </c>
      <c r="M20" s="416"/>
      <c r="N20" s="416"/>
      <c r="O20" s="416"/>
      <c r="P20" s="418"/>
    </row>
    <row r="21" spans="1:16" x14ac:dyDescent="0.3">
      <c r="A21" s="404"/>
      <c r="B21" s="406"/>
      <c r="C21" s="406"/>
      <c r="D21" s="406"/>
      <c r="E21" s="406"/>
      <c r="F21" s="406"/>
      <c r="G21" s="406"/>
      <c r="H21" s="406"/>
      <c r="I21" s="406"/>
      <c r="J21" s="406"/>
      <c r="K21" s="406"/>
      <c r="L21" s="406"/>
      <c r="M21" s="406"/>
      <c r="N21" s="426"/>
      <c r="O21" s="406"/>
      <c r="P21" s="402"/>
    </row>
    <row r="22" spans="1:16" x14ac:dyDescent="0.3">
      <c r="A22" s="585"/>
      <c r="B22" s="591"/>
      <c r="C22" s="592"/>
      <c r="D22" s="592" t="s">
        <v>103</v>
      </c>
      <c r="E22" s="592"/>
      <c r="F22" s="592" t="s">
        <v>189</v>
      </c>
      <c r="G22" s="592"/>
      <c r="H22" s="592" t="s">
        <v>190</v>
      </c>
      <c r="I22" s="592"/>
      <c r="J22" s="592"/>
      <c r="K22" s="593"/>
      <c r="L22" s="593"/>
      <c r="M22" s="591"/>
      <c r="N22" s="591"/>
      <c r="O22" s="594"/>
      <c r="P22" s="402"/>
    </row>
    <row r="23" spans="1:16" s="419" customFormat="1" x14ac:dyDescent="0.3">
      <c r="A23" s="587"/>
      <c r="B23" s="588" t="s">
        <v>7</v>
      </c>
      <c r="C23" s="589"/>
      <c r="D23" s="589" t="s">
        <v>134</v>
      </c>
      <c r="E23" s="589"/>
      <c r="F23" s="589" t="s">
        <v>152</v>
      </c>
      <c r="G23" s="589"/>
      <c r="H23" s="589" t="s">
        <v>135</v>
      </c>
      <c r="I23" s="589"/>
      <c r="J23" s="589"/>
      <c r="K23" s="589"/>
      <c r="L23" s="589"/>
      <c r="M23" s="588"/>
      <c r="N23" s="588"/>
      <c r="O23" s="590"/>
      <c r="P23" s="418"/>
    </row>
    <row r="24" spans="1:16" s="419" customFormat="1" x14ac:dyDescent="0.3">
      <c r="A24" s="431"/>
      <c r="B24" s="428" t="s">
        <v>162</v>
      </c>
      <c r="C24" s="432"/>
      <c r="D24" s="429" t="s">
        <v>134</v>
      </c>
      <c r="E24" s="429"/>
      <c r="F24" s="429" t="s">
        <v>152</v>
      </c>
      <c r="G24" s="429"/>
      <c r="H24" s="429" t="s">
        <v>135</v>
      </c>
      <c r="I24" s="429"/>
      <c r="J24" s="429"/>
      <c r="K24" s="432"/>
      <c r="L24" s="429"/>
      <c r="M24" s="428"/>
      <c r="N24" s="428"/>
      <c r="O24" s="430"/>
      <c r="P24" s="418"/>
    </row>
    <row r="25" spans="1:16" s="419" customFormat="1" x14ac:dyDescent="0.3">
      <c r="A25" s="427"/>
      <c r="B25" s="433" t="s">
        <v>163</v>
      </c>
      <c r="C25" s="429"/>
      <c r="D25" s="432" t="s">
        <v>134</v>
      </c>
      <c r="E25" s="432"/>
      <c r="F25" s="432" t="s">
        <v>267</v>
      </c>
      <c r="G25" s="432"/>
      <c r="H25" s="432" t="s">
        <v>267</v>
      </c>
      <c r="I25" s="432"/>
      <c r="J25" s="432"/>
      <c r="K25" s="429"/>
      <c r="L25" s="434"/>
      <c r="M25" s="428"/>
      <c r="N25" s="428"/>
      <c r="O25" s="430"/>
      <c r="P25" s="418"/>
    </row>
    <row r="26" spans="1:16" s="419" customFormat="1" x14ac:dyDescent="0.3">
      <c r="A26" s="427"/>
      <c r="B26" s="433" t="s">
        <v>164</v>
      </c>
      <c r="C26" s="429"/>
      <c r="D26" s="432" t="s">
        <v>134</v>
      </c>
      <c r="E26" s="432"/>
      <c r="F26" s="432" t="s">
        <v>152</v>
      </c>
      <c r="G26" s="432"/>
      <c r="H26" s="432" t="s">
        <v>135</v>
      </c>
      <c r="I26" s="432"/>
      <c r="J26" s="432"/>
      <c r="K26" s="429"/>
      <c r="L26" s="434"/>
      <c r="M26" s="428"/>
      <c r="N26" s="428"/>
      <c r="O26" s="430"/>
      <c r="P26" s="418"/>
    </row>
    <row r="27" spans="1:16" s="419" customFormat="1" x14ac:dyDescent="0.3">
      <c r="A27" s="427"/>
      <c r="B27" s="428" t="s">
        <v>8</v>
      </c>
      <c r="C27" s="435"/>
      <c r="D27" s="429" t="s">
        <v>218</v>
      </c>
      <c r="E27" s="429"/>
      <c r="F27" s="429" t="s">
        <v>219</v>
      </c>
      <c r="G27" s="429"/>
      <c r="H27" s="429" t="s">
        <v>220</v>
      </c>
      <c r="I27" s="429"/>
      <c r="J27" s="429"/>
      <c r="K27" s="436"/>
      <c r="L27" s="436"/>
      <c r="M27" s="435"/>
      <c r="N27" s="436"/>
      <c r="O27" s="437"/>
      <c r="P27" s="418"/>
    </row>
    <row r="28" spans="1:16" s="419" customFormat="1" x14ac:dyDescent="0.3">
      <c r="A28" s="431"/>
      <c r="B28" s="428" t="s">
        <v>129</v>
      </c>
      <c r="C28" s="438"/>
      <c r="D28" s="436">
        <v>260500</v>
      </c>
      <c r="E28" s="436"/>
      <c r="F28" s="436">
        <v>4050</v>
      </c>
      <c r="G28" s="436"/>
      <c r="H28" s="436">
        <v>4050</v>
      </c>
      <c r="I28" s="436"/>
      <c r="J28" s="439"/>
      <c r="K28" s="440"/>
      <c r="L28" s="440"/>
      <c r="M28" s="438"/>
      <c r="N28" s="436">
        <f>SUM(D28:H28)</f>
        <v>268600</v>
      </c>
      <c r="O28" s="437"/>
      <c r="P28" s="418"/>
    </row>
    <row r="29" spans="1:16" s="419" customFormat="1" x14ac:dyDescent="0.3">
      <c r="A29" s="427"/>
      <c r="B29" s="428" t="s">
        <v>128</v>
      </c>
      <c r="C29" s="435"/>
      <c r="D29" s="436">
        <f>D28*D32</f>
        <v>9813.9207000000006</v>
      </c>
      <c r="E29" s="436"/>
      <c r="F29" s="436">
        <f>F28*F32</f>
        <v>1598.20047</v>
      </c>
      <c r="G29" s="436"/>
      <c r="H29" s="436">
        <f>H28*H32</f>
        <v>1598.20047</v>
      </c>
      <c r="I29" s="436"/>
      <c r="J29" s="439"/>
      <c r="K29" s="436"/>
      <c r="L29" s="436"/>
      <c r="M29" s="435"/>
      <c r="N29" s="436">
        <f>SUM(D29:H29)+1</f>
        <v>13011.32164</v>
      </c>
      <c r="O29" s="437"/>
      <c r="P29" s="418"/>
    </row>
    <row r="30" spans="1:16" s="419" customFormat="1" x14ac:dyDescent="0.3">
      <c r="A30" s="427"/>
      <c r="B30" s="433" t="s">
        <v>130</v>
      </c>
      <c r="C30" s="435"/>
      <c r="D30" s="440">
        <f>D28*D31</f>
        <v>9195.2852999999996</v>
      </c>
      <c r="E30" s="440"/>
      <c r="F30" s="440">
        <f>F28*F31</f>
        <v>1598.20047</v>
      </c>
      <c r="G30" s="440"/>
      <c r="H30" s="440">
        <f>H28*H31</f>
        <v>1598.20047</v>
      </c>
      <c r="I30" s="440"/>
      <c r="J30" s="441"/>
      <c r="K30" s="436"/>
      <c r="L30" s="436"/>
      <c r="M30" s="435"/>
      <c r="N30" s="440">
        <f>SUM(D30:I30)</f>
        <v>12391.686239999999</v>
      </c>
      <c r="O30" s="437"/>
      <c r="P30" s="418"/>
    </row>
    <row r="31" spans="1:16" s="569" customFormat="1" x14ac:dyDescent="0.3">
      <c r="A31" s="561"/>
      <c r="B31" s="562" t="s">
        <v>126</v>
      </c>
      <c r="C31" s="563"/>
      <c r="D31" s="564">
        <v>3.5298599999999999E-2</v>
      </c>
      <c r="E31" s="564"/>
      <c r="F31" s="564">
        <v>0.39461740000000001</v>
      </c>
      <c r="G31" s="564"/>
      <c r="H31" s="564">
        <v>0.39461740000000001</v>
      </c>
      <c r="I31" s="565"/>
      <c r="J31" s="565"/>
      <c r="K31" s="566"/>
      <c r="L31" s="566"/>
      <c r="M31" s="563"/>
      <c r="N31" s="563"/>
      <c r="O31" s="567"/>
      <c r="P31" s="568"/>
    </row>
    <row r="32" spans="1:16" s="569" customFormat="1" x14ac:dyDescent="0.3">
      <c r="A32" s="561"/>
      <c r="B32" s="562" t="s">
        <v>127</v>
      </c>
      <c r="C32" s="563"/>
      <c r="D32" s="564">
        <v>3.7673400000000003E-2</v>
      </c>
      <c r="E32" s="564"/>
      <c r="F32" s="564">
        <v>0.39461740000000001</v>
      </c>
      <c r="G32" s="564"/>
      <c r="H32" s="564">
        <v>0.39461740000000001</v>
      </c>
      <c r="I32" s="565"/>
      <c r="J32" s="565"/>
      <c r="K32" s="570"/>
      <c r="L32" s="571"/>
      <c r="M32" s="563"/>
      <c r="N32" s="570"/>
      <c r="O32" s="567"/>
      <c r="P32" s="568"/>
    </row>
    <row r="33" spans="1:17" s="419" customFormat="1" x14ac:dyDescent="0.3">
      <c r="A33" s="427"/>
      <c r="B33" s="428" t="s">
        <v>9</v>
      </c>
      <c r="C33" s="428"/>
      <c r="D33" s="434" t="s">
        <v>193</v>
      </c>
      <c r="E33" s="434"/>
      <c r="F33" s="434" t="s">
        <v>195</v>
      </c>
      <c r="G33" s="434"/>
      <c r="H33" s="434" t="s">
        <v>197</v>
      </c>
      <c r="I33" s="434"/>
      <c r="J33" s="434"/>
      <c r="K33" s="446"/>
      <c r="L33" s="447"/>
      <c r="M33" s="428"/>
      <c r="N33" s="428"/>
      <c r="O33" s="430"/>
      <c r="P33" s="418"/>
    </row>
    <row r="34" spans="1:17" s="419" customFormat="1" x14ac:dyDescent="0.3">
      <c r="A34" s="427"/>
      <c r="B34" s="428" t="s">
        <v>10</v>
      </c>
      <c r="C34" s="428"/>
      <c r="D34" s="447">
        <v>8.7075E-3</v>
      </c>
      <c r="E34" s="446"/>
      <c r="F34" s="447">
        <v>9.9074999999999996E-3</v>
      </c>
      <c r="G34" s="446"/>
      <c r="H34" s="447">
        <v>1.19075E-2</v>
      </c>
      <c r="I34" s="446"/>
      <c r="J34" s="447"/>
      <c r="K34" s="446"/>
      <c r="L34" s="447"/>
      <c r="M34" s="428"/>
      <c r="N34" s="446">
        <f>SUMPRODUCT(D34:H34,D29:H29)/N29</f>
        <v>9.247289481985322E-3</v>
      </c>
      <c r="O34" s="430"/>
      <c r="P34" s="418"/>
    </row>
    <row r="35" spans="1:17" s="419" customFormat="1" x14ac:dyDescent="0.3">
      <c r="A35" s="427"/>
      <c r="B35" s="428" t="s">
        <v>11</v>
      </c>
      <c r="C35" s="428"/>
      <c r="D35" s="447">
        <v>8.4591000000000006E-3</v>
      </c>
      <c r="E35" s="446"/>
      <c r="F35" s="447">
        <v>9.6591000000000003E-3</v>
      </c>
      <c r="G35" s="446"/>
      <c r="H35" s="447">
        <v>1.16591E-2</v>
      </c>
      <c r="I35" s="447"/>
      <c r="J35" s="447"/>
      <c r="K35" s="446"/>
      <c r="L35" s="447"/>
      <c r="M35" s="428"/>
      <c r="N35" s="446" t="s">
        <v>165</v>
      </c>
      <c r="O35" s="430"/>
      <c r="P35" s="418"/>
    </row>
    <row r="36" spans="1:17" s="419" customFormat="1" x14ac:dyDescent="0.3">
      <c r="A36" s="427"/>
      <c r="B36" s="428" t="s">
        <v>12</v>
      </c>
      <c r="C36" s="428"/>
      <c r="D36" s="448">
        <v>40617</v>
      </c>
      <c r="E36" s="448"/>
      <c r="F36" s="448">
        <v>40617</v>
      </c>
      <c r="G36" s="448"/>
      <c r="H36" s="448">
        <v>40617</v>
      </c>
      <c r="I36" s="448"/>
      <c r="J36" s="448"/>
      <c r="K36" s="434"/>
      <c r="L36" s="434"/>
      <c r="M36" s="428"/>
      <c r="N36" s="428"/>
      <c r="O36" s="430"/>
      <c r="P36" s="418"/>
    </row>
    <row r="37" spans="1:17" s="419" customFormat="1" x14ac:dyDescent="0.3">
      <c r="A37" s="427"/>
      <c r="B37" s="428" t="s">
        <v>13</v>
      </c>
      <c r="C37" s="428"/>
      <c r="D37" s="448">
        <v>40983</v>
      </c>
      <c r="E37" s="434"/>
      <c r="F37" s="448">
        <v>40983</v>
      </c>
      <c r="G37" s="434"/>
      <c r="H37" s="448">
        <v>40983</v>
      </c>
      <c r="I37" s="434"/>
      <c r="J37" s="448"/>
      <c r="K37" s="434"/>
      <c r="L37" s="434"/>
      <c r="M37" s="428"/>
      <c r="N37" s="428"/>
      <c r="O37" s="430"/>
      <c r="P37" s="418"/>
    </row>
    <row r="38" spans="1:17" s="419" customFormat="1" x14ac:dyDescent="0.3">
      <c r="A38" s="427"/>
      <c r="B38" s="428" t="s">
        <v>118</v>
      </c>
      <c r="C38" s="428"/>
      <c r="D38" s="434" t="s">
        <v>193</v>
      </c>
      <c r="E38" s="434"/>
      <c r="F38" s="434" t="s">
        <v>195</v>
      </c>
      <c r="G38" s="434"/>
      <c r="H38" s="434" t="s">
        <v>197</v>
      </c>
      <c r="I38" s="434"/>
      <c r="J38" s="434"/>
      <c r="K38" s="449"/>
      <c r="L38" s="449"/>
      <c r="M38" s="449"/>
      <c r="N38" s="449"/>
      <c r="O38" s="430"/>
      <c r="P38" s="418"/>
    </row>
    <row r="39" spans="1:17" s="419" customFormat="1" x14ac:dyDescent="0.3">
      <c r="A39" s="427"/>
      <c r="B39" s="428"/>
      <c r="C39" s="428"/>
      <c r="D39" s="434"/>
      <c r="E39" s="434"/>
      <c r="F39" s="447"/>
      <c r="G39" s="434"/>
      <c r="H39" s="447"/>
      <c r="I39" s="434"/>
      <c r="J39" s="434"/>
      <c r="K39" s="428"/>
      <c r="L39" s="428"/>
      <c r="M39" s="428"/>
      <c r="N39" s="446" t="s">
        <v>165</v>
      </c>
      <c r="O39" s="430"/>
      <c r="P39" s="418"/>
    </row>
    <row r="40" spans="1:17" s="419" customFormat="1" x14ac:dyDescent="0.3">
      <c r="A40" s="427"/>
      <c r="B40" s="428" t="s">
        <v>156</v>
      </c>
      <c r="C40" s="428"/>
      <c r="D40" s="434"/>
      <c r="E40" s="434"/>
      <c r="F40" s="434"/>
      <c r="G40" s="434"/>
      <c r="H40" s="434"/>
      <c r="I40" s="434"/>
      <c r="J40" s="434"/>
      <c r="K40" s="428"/>
      <c r="L40" s="428"/>
      <c r="M40" s="428"/>
      <c r="N40" s="446">
        <f>SUM(F28:H28)/SUM(D28)</f>
        <v>3.109404990403071E-2</v>
      </c>
      <c r="O40" s="430"/>
      <c r="P40" s="418"/>
    </row>
    <row r="41" spans="1:17" s="419" customFormat="1" x14ac:dyDescent="0.3">
      <c r="A41" s="427"/>
      <c r="B41" s="428" t="s">
        <v>157</v>
      </c>
      <c r="C41" s="428"/>
      <c r="D41" s="428"/>
      <c r="E41" s="428"/>
      <c r="F41" s="428"/>
      <c r="G41" s="428"/>
      <c r="H41" s="428"/>
      <c r="I41" s="428"/>
      <c r="J41" s="428"/>
      <c r="K41" s="428"/>
      <c r="L41" s="428"/>
      <c r="M41" s="428"/>
      <c r="N41" s="446">
        <f>SUM(F30:H30)/SUM(D30)</f>
        <v>0.34761302512277681</v>
      </c>
      <c r="O41" s="430"/>
      <c r="P41" s="418"/>
    </row>
    <row r="42" spans="1:17" s="419" customFormat="1" x14ac:dyDescent="0.3">
      <c r="A42" s="427"/>
      <c r="B42" s="428" t="s">
        <v>158</v>
      </c>
      <c r="C42" s="428"/>
      <c r="D42" s="428"/>
      <c r="E42" s="428"/>
      <c r="F42" s="428"/>
      <c r="G42" s="428"/>
      <c r="H42" s="428"/>
      <c r="I42" s="428"/>
      <c r="J42" s="428"/>
      <c r="K42" s="428"/>
      <c r="L42" s="434" t="s">
        <v>103</v>
      </c>
      <c r="M42" s="434" t="s">
        <v>109</v>
      </c>
      <c r="N42" s="436">
        <f>+N28/2-SUM(F28:H28)</f>
        <v>126200</v>
      </c>
      <c r="O42" s="430"/>
      <c r="P42" s="418"/>
    </row>
    <row r="43" spans="1:17" s="419" customFormat="1" x14ac:dyDescent="0.3">
      <c r="A43" s="427"/>
      <c r="B43" s="428"/>
      <c r="C43" s="428"/>
      <c r="D43" s="428"/>
      <c r="E43" s="428"/>
      <c r="F43" s="428"/>
      <c r="G43" s="428"/>
      <c r="H43" s="428"/>
      <c r="I43" s="428"/>
      <c r="J43" s="428"/>
      <c r="K43" s="428"/>
      <c r="L43" s="428"/>
      <c r="M43" s="428"/>
      <c r="N43" s="450"/>
      <c r="O43" s="430"/>
      <c r="P43" s="418"/>
    </row>
    <row r="44" spans="1:17" s="419" customFormat="1" x14ac:dyDescent="0.3">
      <c r="A44" s="427"/>
      <c r="B44" s="428" t="s">
        <v>198</v>
      </c>
      <c r="C44" s="428"/>
      <c r="D44" s="428"/>
      <c r="E44" s="428"/>
      <c r="F44" s="428"/>
      <c r="G44" s="428"/>
      <c r="H44" s="428"/>
      <c r="I44" s="428"/>
      <c r="J44" s="428"/>
      <c r="K44" s="428"/>
      <c r="L44" s="434"/>
      <c r="M44" s="434"/>
      <c r="N44" s="451" t="s">
        <v>111</v>
      </c>
      <c r="O44" s="430"/>
      <c r="P44" s="418"/>
    </row>
    <row r="45" spans="1:17" s="419" customFormat="1" x14ac:dyDescent="0.3">
      <c r="A45" s="427"/>
      <c r="B45" s="433" t="s">
        <v>168</v>
      </c>
      <c r="C45" s="433"/>
      <c r="D45" s="433"/>
      <c r="E45" s="433"/>
      <c r="F45" s="433"/>
      <c r="G45" s="433"/>
      <c r="H45" s="433"/>
      <c r="I45" s="433"/>
      <c r="J45" s="433"/>
      <c r="K45" s="433"/>
      <c r="L45" s="452"/>
      <c r="M45" s="452"/>
      <c r="N45" s="453">
        <v>43360</v>
      </c>
      <c r="O45" s="430"/>
      <c r="P45" s="418"/>
    </row>
    <row r="46" spans="1:17" s="419" customFormat="1" x14ac:dyDescent="0.3">
      <c r="A46" s="427"/>
      <c r="B46" s="428" t="s">
        <v>119</v>
      </c>
      <c r="C46" s="428"/>
      <c r="D46" s="454"/>
      <c r="E46" s="454"/>
      <c r="F46" s="454"/>
      <c r="G46" s="454"/>
      <c r="H46" s="454"/>
      <c r="I46" s="454"/>
      <c r="J46" s="428">
        <f>+N46-L46+1</f>
        <v>92</v>
      </c>
      <c r="K46" s="454"/>
      <c r="L46" s="455">
        <v>43174</v>
      </c>
      <c r="M46" s="456"/>
      <c r="N46" s="455">
        <v>43265</v>
      </c>
      <c r="O46" s="430"/>
      <c r="P46" s="418"/>
    </row>
    <row r="47" spans="1:17" s="419" customFormat="1" x14ac:dyDescent="0.3">
      <c r="A47" s="427"/>
      <c r="B47" s="428" t="s">
        <v>120</v>
      </c>
      <c r="C47" s="428"/>
      <c r="D47" s="428"/>
      <c r="E47" s="428"/>
      <c r="F47" s="428"/>
      <c r="G47" s="428"/>
      <c r="H47" s="428"/>
      <c r="I47" s="428"/>
      <c r="J47" s="428">
        <f>+N47-L47+1</f>
        <v>94</v>
      </c>
      <c r="K47" s="428"/>
      <c r="L47" s="455">
        <v>43266</v>
      </c>
      <c r="M47" s="456"/>
      <c r="N47" s="455">
        <v>43359</v>
      </c>
      <c r="O47" s="430"/>
      <c r="P47" s="418"/>
    </row>
    <row r="48" spans="1:17" s="419" customFormat="1" x14ac:dyDescent="0.3">
      <c r="A48" s="427"/>
      <c r="B48" s="428" t="s">
        <v>199</v>
      </c>
      <c r="C48" s="428"/>
      <c r="D48" s="428"/>
      <c r="E48" s="428"/>
      <c r="F48" s="428"/>
      <c r="G48" s="428"/>
      <c r="H48" s="428"/>
      <c r="I48" s="428"/>
      <c r="J48" s="428"/>
      <c r="K48" s="428"/>
      <c r="L48" s="455"/>
      <c r="M48" s="456"/>
      <c r="N48" s="455" t="s">
        <v>143</v>
      </c>
      <c r="O48" s="430"/>
      <c r="P48" s="418"/>
      <c r="Q48" s="457"/>
    </row>
    <row r="49" spans="1:16" s="419" customFormat="1" x14ac:dyDescent="0.3">
      <c r="A49" s="427"/>
      <c r="B49" s="428" t="s">
        <v>14</v>
      </c>
      <c r="C49" s="428"/>
      <c r="D49" s="428"/>
      <c r="E49" s="428"/>
      <c r="F49" s="428"/>
      <c r="G49" s="428"/>
      <c r="H49" s="428"/>
      <c r="I49" s="428"/>
      <c r="J49" s="428"/>
      <c r="K49" s="428"/>
      <c r="L49" s="455"/>
      <c r="M49" s="456"/>
      <c r="N49" s="455">
        <v>43346</v>
      </c>
      <c r="O49" s="430"/>
      <c r="P49" s="418"/>
    </row>
    <row r="50" spans="1:16" s="419" customFormat="1" x14ac:dyDescent="0.3">
      <c r="A50" s="415"/>
      <c r="B50" s="458"/>
      <c r="C50" s="458"/>
      <c r="D50" s="458"/>
      <c r="E50" s="458"/>
      <c r="F50" s="458"/>
      <c r="G50" s="458"/>
      <c r="H50" s="458"/>
      <c r="I50" s="458"/>
      <c r="J50" s="458"/>
      <c r="K50" s="458"/>
      <c r="L50" s="459"/>
      <c r="M50" s="460"/>
      <c r="N50" s="459"/>
      <c r="O50" s="458"/>
      <c r="P50" s="418"/>
    </row>
    <row r="51" spans="1:16" s="419" customFormat="1" x14ac:dyDescent="0.3">
      <c r="A51" s="415"/>
      <c r="B51" s="416"/>
      <c r="C51" s="416"/>
      <c r="D51" s="416"/>
      <c r="E51" s="416"/>
      <c r="F51" s="416"/>
      <c r="G51" s="416"/>
      <c r="H51" s="416"/>
      <c r="I51" s="416"/>
      <c r="J51" s="416"/>
      <c r="K51" s="416"/>
      <c r="L51" s="461"/>
      <c r="M51" s="462"/>
      <c r="N51" s="461"/>
      <c r="O51" s="416"/>
      <c r="P51" s="418"/>
    </row>
    <row r="52" spans="1:16" s="419" customFormat="1" ht="18.600000000000001" thickBot="1" x14ac:dyDescent="0.4">
      <c r="A52" s="463"/>
      <c r="B52" s="464" t="s">
        <v>300</v>
      </c>
      <c r="C52" s="465"/>
      <c r="D52" s="465"/>
      <c r="E52" s="465"/>
      <c r="F52" s="465"/>
      <c r="G52" s="465"/>
      <c r="H52" s="465"/>
      <c r="I52" s="465"/>
      <c r="J52" s="465"/>
      <c r="K52" s="465"/>
      <c r="L52" s="465"/>
      <c r="M52" s="465"/>
      <c r="N52" s="466"/>
      <c r="O52" s="467"/>
      <c r="P52" s="418"/>
    </row>
    <row r="53" spans="1:16" x14ac:dyDescent="0.3">
      <c r="A53" s="585"/>
      <c r="B53" s="595" t="s">
        <v>15</v>
      </c>
      <c r="C53" s="586"/>
      <c r="D53" s="586"/>
      <c r="E53" s="586"/>
      <c r="F53" s="586"/>
      <c r="G53" s="586"/>
      <c r="H53" s="586"/>
      <c r="I53" s="586"/>
      <c r="J53" s="586"/>
      <c r="K53" s="586"/>
      <c r="L53" s="586"/>
      <c r="M53" s="586"/>
      <c r="N53" s="596"/>
      <c r="O53" s="586"/>
      <c r="P53" s="402"/>
    </row>
    <row r="54" spans="1:16" x14ac:dyDescent="0.3">
      <c r="A54" s="404"/>
      <c r="B54" s="413"/>
      <c r="C54" s="406"/>
      <c r="D54" s="406"/>
      <c r="E54" s="406"/>
      <c r="F54" s="406"/>
      <c r="G54" s="406"/>
      <c r="H54" s="406"/>
      <c r="I54" s="406"/>
      <c r="J54" s="406"/>
      <c r="K54" s="406"/>
      <c r="L54" s="406"/>
      <c r="M54" s="406"/>
      <c r="N54" s="468"/>
      <c r="O54" s="406"/>
      <c r="P54" s="402"/>
    </row>
    <row r="55" spans="1:16" s="569" customFormat="1" ht="46.8" x14ac:dyDescent="0.3">
      <c r="A55" s="572"/>
      <c r="B55" s="573" t="s">
        <v>16</v>
      </c>
      <c r="C55" s="574"/>
      <c r="D55" s="574" t="s">
        <v>91</v>
      </c>
      <c r="E55" s="574"/>
      <c r="F55" s="574" t="s">
        <v>93</v>
      </c>
      <c r="G55" s="574"/>
      <c r="H55" s="574" t="s">
        <v>95</v>
      </c>
      <c r="I55" s="574"/>
      <c r="J55" s="574" t="s">
        <v>97</v>
      </c>
      <c r="K55" s="574"/>
      <c r="L55" s="574" t="s">
        <v>104</v>
      </c>
      <c r="M55" s="574"/>
      <c r="N55" s="575" t="s">
        <v>112</v>
      </c>
      <c r="O55" s="576"/>
      <c r="P55" s="568"/>
    </row>
    <row r="56" spans="1:16" s="419" customFormat="1" x14ac:dyDescent="0.3">
      <c r="A56" s="427"/>
      <c r="B56" s="428" t="s">
        <v>17</v>
      </c>
      <c r="C56" s="469"/>
      <c r="D56" s="469">
        <v>268565</v>
      </c>
      <c r="E56" s="469"/>
      <c r="F56" s="470">
        <v>13011</v>
      </c>
      <c r="G56" s="469"/>
      <c r="H56" s="469">
        <v>619</v>
      </c>
      <c r="I56" s="469"/>
      <c r="J56" s="469">
        <v>0</v>
      </c>
      <c r="K56" s="469"/>
      <c r="L56" s="469">
        <v>0</v>
      </c>
      <c r="M56" s="469"/>
      <c r="N56" s="470">
        <f>+F56-H56+J56-L56</f>
        <v>12392</v>
      </c>
      <c r="O56" s="430"/>
      <c r="P56" s="418"/>
    </row>
    <row r="57" spans="1:16" s="419" customFormat="1" x14ac:dyDescent="0.3">
      <c r="A57" s="427"/>
      <c r="B57" s="428" t="s">
        <v>209</v>
      </c>
      <c r="C57" s="469"/>
      <c r="D57" s="469">
        <v>756</v>
      </c>
      <c r="E57" s="469"/>
      <c r="F57" s="470">
        <v>49</v>
      </c>
      <c r="G57" s="469"/>
      <c r="H57" s="469">
        <v>2</v>
      </c>
      <c r="I57" s="469"/>
      <c r="J57" s="469">
        <v>0</v>
      </c>
      <c r="K57" s="469"/>
      <c r="L57" s="469">
        <v>0</v>
      </c>
      <c r="M57" s="469"/>
      <c r="N57" s="470">
        <f>+F57-H57</f>
        <v>47</v>
      </c>
      <c r="O57" s="430"/>
      <c r="P57" s="418"/>
    </row>
    <row r="58" spans="1:16" s="419" customFormat="1" x14ac:dyDescent="0.3">
      <c r="A58" s="427"/>
      <c r="B58" s="428"/>
      <c r="C58" s="469"/>
      <c r="D58" s="469"/>
      <c r="E58" s="469"/>
      <c r="F58" s="470"/>
      <c r="G58" s="469"/>
      <c r="H58" s="469"/>
      <c r="I58" s="469"/>
      <c r="J58" s="469"/>
      <c r="K58" s="469"/>
      <c r="L58" s="469"/>
      <c r="M58" s="469"/>
      <c r="N58" s="470"/>
      <c r="O58" s="430"/>
      <c r="P58" s="418"/>
    </row>
    <row r="59" spans="1:16" s="419" customFormat="1" x14ac:dyDescent="0.3">
      <c r="A59" s="427"/>
      <c r="B59" s="428" t="s">
        <v>19</v>
      </c>
      <c r="C59" s="469"/>
      <c r="D59" s="469">
        <f>SUM(D56:D58)</f>
        <v>269321</v>
      </c>
      <c r="E59" s="469"/>
      <c r="F59" s="469">
        <f>F56+F57</f>
        <v>13060</v>
      </c>
      <c r="G59" s="469"/>
      <c r="H59" s="469">
        <f>SUM(H56:H58)</f>
        <v>621</v>
      </c>
      <c r="I59" s="469"/>
      <c r="J59" s="469">
        <f>SUM(J56:J58)</f>
        <v>0</v>
      </c>
      <c r="K59" s="469"/>
      <c r="L59" s="469">
        <f>SUM(L56:L58)</f>
        <v>0</v>
      </c>
      <c r="M59" s="469"/>
      <c r="N59" s="469">
        <f>SUM(N56:N58)</f>
        <v>12439</v>
      </c>
      <c r="O59" s="430"/>
      <c r="P59" s="418"/>
    </row>
    <row r="60" spans="1:16" x14ac:dyDescent="0.3">
      <c r="A60" s="404"/>
      <c r="B60" s="471"/>
      <c r="C60" s="472"/>
      <c r="D60" s="472"/>
      <c r="E60" s="472"/>
      <c r="F60" s="472"/>
      <c r="G60" s="472"/>
      <c r="H60" s="472"/>
      <c r="I60" s="472"/>
      <c r="J60" s="472"/>
      <c r="K60" s="472"/>
      <c r="L60" s="472"/>
      <c r="M60" s="472"/>
      <c r="N60" s="473"/>
      <c r="O60" s="471"/>
      <c r="P60" s="402"/>
    </row>
    <row r="61" spans="1:16" x14ac:dyDescent="0.3">
      <c r="A61" s="404"/>
      <c r="B61" s="408" t="s">
        <v>20</v>
      </c>
      <c r="C61" s="474"/>
      <c r="D61" s="474"/>
      <c r="E61" s="474"/>
      <c r="F61" s="474"/>
      <c r="G61" s="474"/>
      <c r="H61" s="474"/>
      <c r="I61" s="474"/>
      <c r="J61" s="474"/>
      <c r="K61" s="474"/>
      <c r="L61" s="474"/>
      <c r="M61" s="474"/>
      <c r="N61" s="475"/>
      <c r="O61" s="406"/>
      <c r="P61" s="402"/>
    </row>
    <row r="62" spans="1:16" x14ac:dyDescent="0.3">
      <c r="A62" s="404"/>
      <c r="B62" s="406"/>
      <c r="C62" s="474"/>
      <c r="D62" s="474"/>
      <c r="E62" s="474"/>
      <c r="F62" s="474"/>
      <c r="G62" s="474"/>
      <c r="H62" s="474"/>
      <c r="I62" s="474"/>
      <c r="J62" s="474"/>
      <c r="K62" s="474"/>
      <c r="L62" s="474"/>
      <c r="M62" s="474"/>
      <c r="N62" s="475"/>
      <c r="O62" s="406"/>
      <c r="P62" s="402"/>
    </row>
    <row r="63" spans="1:16" s="419" customFormat="1" x14ac:dyDescent="0.3">
      <c r="A63" s="427"/>
      <c r="B63" s="428" t="s">
        <v>17</v>
      </c>
      <c r="C63" s="469"/>
      <c r="D63" s="469"/>
      <c r="E63" s="469"/>
      <c r="F63" s="469"/>
      <c r="G63" s="469"/>
      <c r="H63" s="469"/>
      <c r="I63" s="469"/>
      <c r="J63" s="469"/>
      <c r="K63" s="469"/>
      <c r="L63" s="469"/>
      <c r="M63" s="469"/>
      <c r="N63" s="469"/>
      <c r="O63" s="430"/>
      <c r="P63" s="418"/>
    </row>
    <row r="64" spans="1:16" s="419" customFormat="1" x14ac:dyDescent="0.3">
      <c r="A64" s="427"/>
      <c r="B64" s="428" t="s">
        <v>18</v>
      </c>
      <c r="C64" s="469"/>
      <c r="D64" s="469"/>
      <c r="E64" s="469"/>
      <c r="F64" s="469"/>
      <c r="G64" s="469"/>
      <c r="H64" s="469"/>
      <c r="I64" s="469"/>
      <c r="J64" s="469"/>
      <c r="K64" s="469"/>
      <c r="L64" s="469"/>
      <c r="M64" s="469"/>
      <c r="N64" s="469"/>
      <c r="O64" s="430"/>
      <c r="P64" s="418"/>
    </row>
    <row r="65" spans="1:16" s="419" customFormat="1" x14ac:dyDescent="0.3">
      <c r="A65" s="427"/>
      <c r="B65" s="428"/>
      <c r="C65" s="469"/>
      <c r="D65" s="469"/>
      <c r="E65" s="469"/>
      <c r="F65" s="469"/>
      <c r="G65" s="469"/>
      <c r="H65" s="469"/>
      <c r="I65" s="469"/>
      <c r="J65" s="469"/>
      <c r="K65" s="469"/>
      <c r="L65" s="469"/>
      <c r="M65" s="469"/>
      <c r="N65" s="469"/>
      <c r="O65" s="430"/>
      <c r="P65" s="418"/>
    </row>
    <row r="66" spans="1:16" s="419" customFormat="1" x14ac:dyDescent="0.3">
      <c r="A66" s="427"/>
      <c r="B66" s="428" t="s">
        <v>19</v>
      </c>
      <c r="C66" s="469"/>
      <c r="D66" s="469"/>
      <c r="E66" s="469"/>
      <c r="F66" s="469"/>
      <c r="G66" s="469"/>
      <c r="H66" s="469"/>
      <c r="I66" s="469"/>
      <c r="J66" s="469"/>
      <c r="K66" s="469"/>
      <c r="L66" s="469"/>
      <c r="M66" s="469"/>
      <c r="N66" s="469"/>
      <c r="O66" s="430"/>
      <c r="P66" s="418"/>
    </row>
    <row r="67" spans="1:16" s="419" customFormat="1" x14ac:dyDescent="0.3">
      <c r="A67" s="427"/>
      <c r="B67" s="428"/>
      <c r="C67" s="469"/>
      <c r="D67" s="469"/>
      <c r="E67" s="469"/>
      <c r="F67" s="469"/>
      <c r="G67" s="469"/>
      <c r="H67" s="469"/>
      <c r="I67" s="469"/>
      <c r="J67" s="469"/>
      <c r="K67" s="469"/>
      <c r="L67" s="469"/>
      <c r="M67" s="469"/>
      <c r="N67" s="469"/>
      <c r="O67" s="430"/>
      <c r="P67" s="418"/>
    </row>
    <row r="68" spans="1:16" s="419" customFormat="1" x14ac:dyDescent="0.3">
      <c r="A68" s="427"/>
      <c r="B68" s="428" t="s">
        <v>209</v>
      </c>
      <c r="C68" s="469"/>
      <c r="D68" s="469">
        <v>-756</v>
      </c>
      <c r="E68" s="469"/>
      <c r="F68" s="469">
        <v>-49</v>
      </c>
      <c r="G68" s="469"/>
      <c r="H68" s="469"/>
      <c r="I68" s="469"/>
      <c r="J68" s="469"/>
      <c r="K68" s="469"/>
      <c r="L68" s="469"/>
      <c r="M68" s="469"/>
      <c r="N68" s="470">
        <f>-N57</f>
        <v>-47</v>
      </c>
      <c r="O68" s="430"/>
      <c r="P68" s="418"/>
    </row>
    <row r="69" spans="1:16" s="419" customFormat="1" x14ac:dyDescent="0.3">
      <c r="A69" s="427"/>
      <c r="B69" s="428" t="s">
        <v>21</v>
      </c>
      <c r="C69" s="469"/>
      <c r="D69" s="469">
        <v>0</v>
      </c>
      <c r="E69" s="469"/>
      <c r="F69" s="469">
        <v>0</v>
      </c>
      <c r="G69" s="469"/>
      <c r="H69" s="469"/>
      <c r="I69" s="469"/>
      <c r="J69" s="469"/>
      <c r="K69" s="469"/>
      <c r="L69" s="469"/>
      <c r="M69" s="469"/>
      <c r="N69" s="469">
        <f>SUM(D69:J69)</f>
        <v>0</v>
      </c>
      <c r="O69" s="430"/>
      <c r="P69" s="418"/>
    </row>
    <row r="70" spans="1:16" s="419" customFormat="1" x14ac:dyDescent="0.3">
      <c r="A70" s="427"/>
      <c r="B70" s="428" t="s">
        <v>210</v>
      </c>
      <c r="C70" s="469"/>
      <c r="D70" s="469">
        <v>35</v>
      </c>
      <c r="E70" s="469"/>
      <c r="F70" s="469">
        <v>0</v>
      </c>
      <c r="G70" s="469"/>
      <c r="H70" s="469">
        <v>0</v>
      </c>
      <c r="I70" s="469"/>
      <c r="J70" s="469"/>
      <c r="K70" s="469"/>
      <c r="L70" s="469"/>
      <c r="M70" s="469"/>
      <c r="N70" s="469">
        <f>+F70+H70</f>
        <v>0</v>
      </c>
      <c r="O70" s="430"/>
      <c r="P70" s="418"/>
    </row>
    <row r="71" spans="1:16" s="419" customFormat="1" x14ac:dyDescent="0.3">
      <c r="A71" s="427"/>
      <c r="B71" s="428" t="s">
        <v>23</v>
      </c>
      <c r="C71" s="469"/>
      <c r="D71" s="469">
        <v>0</v>
      </c>
      <c r="E71" s="469"/>
      <c r="F71" s="469">
        <v>0</v>
      </c>
      <c r="G71" s="469"/>
      <c r="H71" s="469"/>
      <c r="I71" s="469"/>
      <c r="J71" s="469"/>
      <c r="K71" s="469"/>
      <c r="L71" s="469"/>
      <c r="M71" s="469"/>
      <c r="N71" s="469">
        <v>0</v>
      </c>
      <c r="O71" s="430"/>
      <c r="P71" s="418"/>
    </row>
    <row r="72" spans="1:16" s="419" customFormat="1" x14ac:dyDescent="0.3">
      <c r="A72" s="427"/>
      <c r="B72" s="428" t="s">
        <v>24</v>
      </c>
      <c r="C72" s="469"/>
      <c r="D72" s="469">
        <f>SUM(D59:D71)</f>
        <v>268600</v>
      </c>
      <c r="E72" s="469"/>
      <c r="F72" s="469">
        <f>SUM(F59:F71)</f>
        <v>13011</v>
      </c>
      <c r="G72" s="469"/>
      <c r="H72" s="469"/>
      <c r="I72" s="469"/>
      <c r="J72" s="469"/>
      <c r="K72" s="469"/>
      <c r="L72" s="469"/>
      <c r="M72" s="469"/>
      <c r="N72" s="469">
        <f>SUM(N59:N71)</f>
        <v>12392</v>
      </c>
      <c r="O72" s="430"/>
      <c r="P72" s="418"/>
    </row>
    <row r="73" spans="1:16" x14ac:dyDescent="0.3">
      <c r="A73" s="404"/>
      <c r="B73" s="476"/>
      <c r="C73" s="477"/>
      <c r="D73" s="477"/>
      <c r="E73" s="477"/>
      <c r="F73" s="477"/>
      <c r="G73" s="477"/>
      <c r="H73" s="477"/>
      <c r="I73" s="477"/>
      <c r="J73" s="477"/>
      <c r="K73" s="477"/>
      <c r="L73" s="477"/>
      <c r="M73" s="477"/>
      <c r="N73" s="477"/>
      <c r="O73" s="476"/>
      <c r="P73" s="402"/>
    </row>
    <row r="74" spans="1:16" x14ac:dyDescent="0.3">
      <c r="A74" s="404"/>
      <c r="B74" s="478"/>
      <c r="C74" s="478"/>
      <c r="D74" s="478"/>
      <c r="E74" s="478"/>
      <c r="F74" s="478"/>
      <c r="G74" s="478"/>
      <c r="H74" s="478"/>
      <c r="I74" s="478"/>
      <c r="J74" s="478"/>
      <c r="K74" s="478"/>
      <c r="L74" s="478"/>
      <c r="M74" s="478"/>
      <c r="N74" s="478"/>
      <c r="O74" s="478"/>
      <c r="P74" s="402"/>
    </row>
    <row r="75" spans="1:16" x14ac:dyDescent="0.3">
      <c r="A75" s="585"/>
      <c r="B75" s="599" t="s">
        <v>25</v>
      </c>
      <c r="C75" s="599"/>
      <c r="D75" s="600" t="s">
        <v>92</v>
      </c>
      <c r="E75" s="601"/>
      <c r="F75" s="602">
        <f>+L183</f>
        <v>43343</v>
      </c>
      <c r="G75" s="601"/>
      <c r="H75" s="601"/>
      <c r="I75" s="601"/>
      <c r="J75" s="601"/>
      <c r="K75" s="601"/>
      <c r="L75" s="601" t="s">
        <v>105</v>
      </c>
      <c r="M75" s="601"/>
      <c r="N75" s="601" t="s">
        <v>113</v>
      </c>
      <c r="O75" s="594"/>
      <c r="P75" s="402"/>
    </row>
    <row r="76" spans="1:16" s="419" customFormat="1" x14ac:dyDescent="0.3">
      <c r="A76" s="587"/>
      <c r="B76" s="588" t="s">
        <v>26</v>
      </c>
      <c r="C76" s="588"/>
      <c r="D76" s="588"/>
      <c r="E76" s="588"/>
      <c r="F76" s="588"/>
      <c r="G76" s="588"/>
      <c r="H76" s="588"/>
      <c r="I76" s="588"/>
      <c r="J76" s="588"/>
      <c r="K76" s="588"/>
      <c r="L76" s="597">
        <v>0</v>
      </c>
      <c r="M76" s="588"/>
      <c r="N76" s="598">
        <v>0</v>
      </c>
      <c r="O76" s="590"/>
      <c r="P76" s="418"/>
    </row>
    <row r="77" spans="1:16" s="419" customFormat="1" x14ac:dyDescent="0.3">
      <c r="A77" s="427"/>
      <c r="B77" s="428" t="s">
        <v>27</v>
      </c>
      <c r="C77" s="428"/>
      <c r="D77" s="449"/>
      <c r="E77" s="428"/>
      <c r="F77" s="479"/>
      <c r="G77" s="428"/>
      <c r="H77" s="428"/>
      <c r="I77" s="428"/>
      <c r="J77" s="428"/>
      <c r="K77" s="428"/>
      <c r="L77" s="469">
        <v>619</v>
      </c>
      <c r="M77" s="428"/>
      <c r="N77" s="470"/>
      <c r="O77" s="430"/>
      <c r="P77" s="418"/>
    </row>
    <row r="78" spans="1:16" s="419" customFormat="1" x14ac:dyDescent="0.3">
      <c r="A78" s="427"/>
      <c r="B78" s="428" t="s">
        <v>176</v>
      </c>
      <c r="C78" s="428"/>
      <c r="D78" s="449"/>
      <c r="E78" s="428"/>
      <c r="F78" s="479"/>
      <c r="G78" s="428"/>
      <c r="H78" s="428"/>
      <c r="I78" s="428"/>
      <c r="J78" s="428"/>
      <c r="K78" s="428"/>
      <c r="L78" s="469"/>
      <c r="M78" s="428"/>
      <c r="N78" s="470">
        <f>344+49+55-246-24-35</f>
        <v>143</v>
      </c>
      <c r="O78" s="430"/>
      <c r="P78" s="418"/>
    </row>
    <row r="79" spans="1:16" s="419" customFormat="1" x14ac:dyDescent="0.3">
      <c r="A79" s="427"/>
      <c r="B79" s="428" t="s">
        <v>174</v>
      </c>
      <c r="C79" s="428"/>
      <c r="D79" s="449"/>
      <c r="E79" s="428"/>
      <c r="F79" s="479"/>
      <c r="G79" s="428"/>
      <c r="H79" s="428"/>
      <c r="I79" s="428"/>
      <c r="J79" s="428"/>
      <c r="K79" s="428"/>
      <c r="L79" s="469"/>
      <c r="M79" s="428"/>
      <c r="N79" s="470">
        <v>4</v>
      </c>
      <c r="O79" s="430"/>
      <c r="P79" s="418"/>
    </row>
    <row r="80" spans="1:16" s="419" customFormat="1" x14ac:dyDescent="0.3">
      <c r="A80" s="427"/>
      <c r="B80" s="428" t="s">
        <v>175</v>
      </c>
      <c r="C80" s="428"/>
      <c r="D80" s="449"/>
      <c r="E80" s="428"/>
      <c r="F80" s="479"/>
      <c r="G80" s="428"/>
      <c r="H80" s="428"/>
      <c r="I80" s="428"/>
      <c r="J80" s="428"/>
      <c r="K80" s="428"/>
      <c r="L80" s="469"/>
      <c r="M80" s="428"/>
      <c r="N80" s="470">
        <v>1</v>
      </c>
      <c r="O80" s="430"/>
      <c r="P80" s="418"/>
    </row>
    <row r="81" spans="1:17" s="419" customFormat="1" x14ac:dyDescent="0.3">
      <c r="A81" s="427"/>
      <c r="B81" s="428" t="s">
        <v>131</v>
      </c>
      <c r="C81" s="428"/>
      <c r="D81" s="428"/>
      <c r="E81" s="428"/>
      <c r="F81" s="428"/>
      <c r="G81" s="428"/>
      <c r="H81" s="428"/>
      <c r="I81" s="428"/>
      <c r="J81" s="428"/>
      <c r="K81" s="428"/>
      <c r="L81" s="469"/>
      <c r="M81" s="428"/>
      <c r="N81" s="470">
        <v>0</v>
      </c>
      <c r="O81" s="430"/>
      <c r="P81" s="418"/>
    </row>
    <row r="82" spans="1:17" s="419" customFormat="1" x14ac:dyDescent="0.3">
      <c r="A82" s="427"/>
      <c r="B82" s="428" t="s">
        <v>211</v>
      </c>
      <c r="C82" s="428"/>
      <c r="D82" s="428"/>
      <c r="E82" s="428"/>
      <c r="F82" s="428"/>
      <c r="G82" s="428"/>
      <c r="H82" s="428"/>
      <c r="I82" s="428"/>
      <c r="J82" s="428"/>
      <c r="K82" s="428"/>
      <c r="L82" s="469"/>
      <c r="M82" s="428"/>
      <c r="N82" s="470">
        <v>0</v>
      </c>
      <c r="O82" s="430"/>
      <c r="P82" s="418"/>
    </row>
    <row r="83" spans="1:17" s="419" customFormat="1" x14ac:dyDescent="0.3">
      <c r="A83" s="427"/>
      <c r="B83" s="428" t="s">
        <v>28</v>
      </c>
      <c r="C83" s="428"/>
      <c r="D83" s="428"/>
      <c r="E83" s="428"/>
      <c r="F83" s="428"/>
      <c r="G83" s="428"/>
      <c r="H83" s="428"/>
      <c r="I83" s="428"/>
      <c r="J83" s="428"/>
      <c r="K83" s="428"/>
      <c r="L83" s="469">
        <f>SUM(L76:L82)</f>
        <v>619</v>
      </c>
      <c r="M83" s="428"/>
      <c r="N83" s="469">
        <f>SUM(N76:N82)</f>
        <v>148</v>
      </c>
      <c r="O83" s="430"/>
      <c r="P83" s="418"/>
    </row>
    <row r="84" spans="1:17" s="419" customFormat="1" x14ac:dyDescent="0.3">
      <c r="A84" s="427"/>
      <c r="B84" s="428" t="s">
        <v>148</v>
      </c>
      <c r="C84" s="428"/>
      <c r="D84" s="428"/>
      <c r="E84" s="428"/>
      <c r="F84" s="428"/>
      <c r="G84" s="428"/>
      <c r="H84" s="428"/>
      <c r="I84" s="428"/>
      <c r="J84" s="428"/>
      <c r="K84" s="428"/>
      <c r="L84" s="469">
        <v>0</v>
      </c>
      <c r="M84" s="428"/>
      <c r="N84" s="469">
        <f>-L84</f>
        <v>0</v>
      </c>
      <c r="O84" s="430"/>
      <c r="P84" s="418"/>
    </row>
    <row r="85" spans="1:17" s="419" customFormat="1" x14ac:dyDescent="0.3">
      <c r="A85" s="427"/>
      <c r="B85" s="428" t="s">
        <v>29</v>
      </c>
      <c r="C85" s="428"/>
      <c r="D85" s="428"/>
      <c r="E85" s="428"/>
      <c r="F85" s="428"/>
      <c r="G85" s="428"/>
      <c r="H85" s="428"/>
      <c r="I85" s="428"/>
      <c r="J85" s="428"/>
      <c r="K85" s="428"/>
      <c r="L85" s="469">
        <f>-N85</f>
        <v>0</v>
      </c>
      <c r="M85" s="428"/>
      <c r="N85" s="470">
        <v>0</v>
      </c>
      <c r="O85" s="430"/>
      <c r="P85" s="418"/>
    </row>
    <row r="86" spans="1:17" s="419" customFormat="1" x14ac:dyDescent="0.3">
      <c r="A86" s="427"/>
      <c r="B86" s="428" t="s">
        <v>244</v>
      </c>
      <c r="C86" s="428"/>
      <c r="D86" s="428"/>
      <c r="E86" s="428"/>
      <c r="F86" s="428"/>
      <c r="G86" s="428"/>
      <c r="H86" s="428"/>
      <c r="I86" s="428"/>
      <c r="J86" s="428"/>
      <c r="K86" s="428"/>
      <c r="L86" s="469"/>
      <c r="M86" s="428"/>
      <c r="N86" s="470">
        <v>0</v>
      </c>
      <c r="O86" s="430"/>
      <c r="P86" s="418"/>
    </row>
    <row r="87" spans="1:17" s="419" customFormat="1" x14ac:dyDescent="0.3">
      <c r="A87" s="427"/>
      <c r="B87" s="428" t="s">
        <v>30</v>
      </c>
      <c r="C87" s="428"/>
      <c r="D87" s="428"/>
      <c r="E87" s="428"/>
      <c r="F87" s="428"/>
      <c r="G87" s="428"/>
      <c r="H87" s="428"/>
      <c r="I87" s="428"/>
      <c r="J87" s="428"/>
      <c r="K87" s="428"/>
      <c r="L87" s="469">
        <f>L83+L85+L84</f>
        <v>619</v>
      </c>
      <c r="M87" s="428"/>
      <c r="N87" s="469">
        <f>N83+N85+N84+N86</f>
        <v>148</v>
      </c>
      <c r="O87" s="430"/>
      <c r="P87" s="418"/>
    </row>
    <row r="88" spans="1:17" x14ac:dyDescent="0.3">
      <c r="A88" s="442"/>
      <c r="B88" s="577" t="s">
        <v>31</v>
      </c>
      <c r="C88" s="443"/>
      <c r="D88" s="443"/>
      <c r="E88" s="443"/>
      <c r="F88" s="443"/>
      <c r="G88" s="443"/>
      <c r="H88" s="443"/>
      <c r="I88" s="443"/>
      <c r="J88" s="443"/>
      <c r="K88" s="443"/>
      <c r="L88" s="480"/>
      <c r="M88" s="443"/>
      <c r="N88" s="481"/>
      <c r="O88" s="445"/>
      <c r="P88" s="402"/>
    </row>
    <row r="89" spans="1:17" s="419" customFormat="1" x14ac:dyDescent="0.3">
      <c r="A89" s="427">
        <v>1</v>
      </c>
      <c r="B89" s="428" t="s">
        <v>32</v>
      </c>
      <c r="C89" s="428"/>
      <c r="D89" s="428"/>
      <c r="E89" s="428"/>
      <c r="F89" s="428"/>
      <c r="G89" s="428"/>
      <c r="H89" s="428"/>
      <c r="I89" s="428"/>
      <c r="J89" s="428"/>
      <c r="K89" s="428"/>
      <c r="L89" s="428"/>
      <c r="M89" s="428"/>
      <c r="N89" s="470">
        <v>0</v>
      </c>
      <c r="O89" s="430"/>
      <c r="P89" s="418"/>
    </row>
    <row r="90" spans="1:17" s="419" customFormat="1" x14ac:dyDescent="0.3">
      <c r="A90" s="427">
        <f>+A89+1</f>
        <v>2</v>
      </c>
      <c r="B90" s="428" t="s">
        <v>224</v>
      </c>
      <c r="C90" s="428"/>
      <c r="D90" s="428"/>
      <c r="E90" s="428"/>
      <c r="F90" s="428"/>
      <c r="G90" s="428"/>
      <c r="H90" s="428"/>
      <c r="I90" s="428"/>
      <c r="J90" s="428"/>
      <c r="K90" s="428"/>
      <c r="L90" s="428"/>
      <c r="M90" s="428"/>
      <c r="N90" s="470">
        <v>-2</v>
      </c>
      <c r="O90" s="430"/>
      <c r="P90" s="418"/>
    </row>
    <row r="91" spans="1:17" s="419" customFormat="1" x14ac:dyDescent="0.3">
      <c r="A91" s="427">
        <f>+A90+1</f>
        <v>3</v>
      </c>
      <c r="B91" s="428" t="s">
        <v>235</v>
      </c>
      <c r="C91" s="428"/>
      <c r="D91" s="428"/>
      <c r="E91" s="428"/>
      <c r="F91" s="428"/>
      <c r="G91" s="428"/>
      <c r="H91" s="428"/>
      <c r="I91" s="428"/>
      <c r="J91" s="428"/>
      <c r="K91" s="428"/>
      <c r="L91" s="428"/>
      <c r="M91" s="428"/>
      <c r="N91" s="470">
        <f>-5-21</f>
        <v>-26</v>
      </c>
      <c r="O91" s="430"/>
      <c r="P91" s="418"/>
    </row>
    <row r="92" spans="1:17" s="419" customFormat="1" x14ac:dyDescent="0.3">
      <c r="A92" s="427" t="s">
        <v>123</v>
      </c>
      <c r="B92" s="428" t="s">
        <v>116</v>
      </c>
      <c r="C92" s="428"/>
      <c r="D92" s="428"/>
      <c r="E92" s="428"/>
      <c r="F92" s="428"/>
      <c r="G92" s="428"/>
      <c r="H92" s="428"/>
      <c r="I92" s="428"/>
      <c r="J92" s="428"/>
      <c r="K92" s="428"/>
      <c r="L92" s="428"/>
      <c r="M92" s="428"/>
      <c r="N92" s="470">
        <v>0</v>
      </c>
      <c r="O92" s="430"/>
      <c r="P92" s="418"/>
    </row>
    <row r="93" spans="1:17" s="419" customFormat="1" x14ac:dyDescent="0.3">
      <c r="A93" s="427" t="s">
        <v>124</v>
      </c>
      <c r="B93" s="428" t="s">
        <v>214</v>
      </c>
      <c r="C93" s="428"/>
      <c r="D93" s="428"/>
      <c r="E93" s="428"/>
      <c r="F93" s="428"/>
      <c r="G93" s="428"/>
      <c r="H93" s="428"/>
      <c r="I93" s="428"/>
      <c r="J93" s="428"/>
      <c r="K93" s="428"/>
      <c r="L93" s="428"/>
      <c r="M93" s="428"/>
      <c r="N93" s="470">
        <v>-22</v>
      </c>
      <c r="O93" s="430"/>
      <c r="P93" s="418"/>
    </row>
    <row r="94" spans="1:17" s="419" customFormat="1" x14ac:dyDescent="0.3">
      <c r="A94" s="427" t="s">
        <v>140</v>
      </c>
      <c r="B94" s="428" t="s">
        <v>180</v>
      </c>
      <c r="C94" s="428"/>
      <c r="D94" s="428"/>
      <c r="E94" s="428"/>
      <c r="F94" s="428"/>
      <c r="G94" s="428"/>
      <c r="H94" s="428"/>
      <c r="I94" s="428"/>
      <c r="J94" s="428"/>
      <c r="K94" s="428"/>
      <c r="L94" s="428"/>
      <c r="M94" s="428"/>
      <c r="N94" s="470">
        <v>0</v>
      </c>
      <c r="O94" s="430"/>
      <c r="P94" s="418"/>
    </row>
    <row r="95" spans="1:17" s="419" customFormat="1" x14ac:dyDescent="0.3">
      <c r="A95" s="427" t="s">
        <v>169</v>
      </c>
      <c r="B95" s="428" t="s">
        <v>215</v>
      </c>
      <c r="C95" s="428"/>
      <c r="D95" s="428"/>
      <c r="E95" s="428"/>
      <c r="F95" s="428"/>
      <c r="G95" s="428"/>
      <c r="H95" s="428"/>
      <c r="I95" s="428"/>
      <c r="J95" s="428"/>
      <c r="K95" s="428"/>
      <c r="L95" s="428"/>
      <c r="M95" s="428"/>
      <c r="N95" s="470">
        <v>-4</v>
      </c>
      <c r="O95" s="430"/>
      <c r="P95" s="418"/>
      <c r="Q95" s="482"/>
    </row>
    <row r="96" spans="1:17" s="419" customFormat="1" x14ac:dyDescent="0.3">
      <c r="A96" s="427" t="s">
        <v>170</v>
      </c>
      <c r="B96" s="428" t="s">
        <v>216</v>
      </c>
      <c r="C96" s="428"/>
      <c r="D96" s="428"/>
      <c r="E96" s="428"/>
      <c r="F96" s="428"/>
      <c r="G96" s="428"/>
      <c r="H96" s="428"/>
      <c r="I96" s="428"/>
      <c r="J96" s="428"/>
      <c r="K96" s="428"/>
      <c r="L96" s="428"/>
      <c r="M96" s="428"/>
      <c r="N96" s="470">
        <v>-5</v>
      </c>
      <c r="O96" s="430"/>
      <c r="P96" s="418"/>
      <c r="Q96" s="482"/>
    </row>
    <row r="97" spans="1:16" s="419" customFormat="1" x14ac:dyDescent="0.3">
      <c r="A97" s="427">
        <v>7</v>
      </c>
      <c r="B97" s="428" t="s">
        <v>33</v>
      </c>
      <c r="C97" s="428"/>
      <c r="D97" s="428"/>
      <c r="E97" s="428"/>
      <c r="F97" s="428"/>
      <c r="G97" s="428"/>
      <c r="H97" s="428"/>
      <c r="I97" s="428"/>
      <c r="J97" s="428"/>
      <c r="K97" s="428"/>
      <c r="L97" s="428"/>
      <c r="M97" s="428"/>
      <c r="N97" s="470">
        <v>-7</v>
      </c>
      <c r="O97" s="430"/>
      <c r="P97" s="418"/>
    </row>
    <row r="98" spans="1:16" s="419" customFormat="1" x14ac:dyDescent="0.3">
      <c r="A98" s="427">
        <f t="shared" ref="A98:A104" si="0">+A97+1</f>
        <v>8</v>
      </c>
      <c r="B98" s="428" t="s">
        <v>42</v>
      </c>
      <c r="C98" s="428"/>
      <c r="D98" s="428"/>
      <c r="E98" s="428"/>
      <c r="F98" s="428"/>
      <c r="G98" s="428"/>
      <c r="H98" s="428"/>
      <c r="I98" s="428"/>
      <c r="J98" s="428"/>
      <c r="K98" s="428"/>
      <c r="L98" s="469">
        <f>-N98</f>
        <v>0</v>
      </c>
      <c r="M98" s="428"/>
      <c r="N98" s="470">
        <v>0</v>
      </c>
      <c r="O98" s="430"/>
      <c r="P98" s="418"/>
    </row>
    <row r="99" spans="1:16" s="419" customFormat="1" x14ac:dyDescent="0.3">
      <c r="A99" s="427">
        <f t="shared" si="0"/>
        <v>9</v>
      </c>
      <c r="B99" s="428" t="s">
        <v>121</v>
      </c>
      <c r="C99" s="428"/>
      <c r="D99" s="428"/>
      <c r="E99" s="428"/>
      <c r="F99" s="428"/>
      <c r="G99" s="428"/>
      <c r="H99" s="428"/>
      <c r="I99" s="428"/>
      <c r="J99" s="428"/>
      <c r="K99" s="428"/>
      <c r="L99" s="428"/>
      <c r="M99" s="428"/>
      <c r="N99" s="470">
        <v>0</v>
      </c>
      <c r="O99" s="430"/>
      <c r="P99" s="418"/>
    </row>
    <row r="100" spans="1:16" s="419" customFormat="1" x14ac:dyDescent="0.3">
      <c r="A100" s="427">
        <f t="shared" si="0"/>
        <v>10</v>
      </c>
      <c r="B100" s="428" t="s">
        <v>182</v>
      </c>
      <c r="C100" s="428"/>
      <c r="D100" s="428"/>
      <c r="E100" s="428"/>
      <c r="F100" s="428"/>
      <c r="G100" s="428"/>
      <c r="H100" s="428"/>
      <c r="I100" s="428"/>
      <c r="J100" s="428"/>
      <c r="K100" s="428"/>
      <c r="L100" s="428"/>
      <c r="M100" s="428"/>
      <c r="N100" s="470">
        <v>0</v>
      </c>
      <c r="O100" s="430"/>
      <c r="P100" s="418"/>
    </row>
    <row r="101" spans="1:16" s="419" customFormat="1" x14ac:dyDescent="0.3">
      <c r="A101" s="427">
        <f t="shared" si="0"/>
        <v>11</v>
      </c>
      <c r="B101" s="428" t="s">
        <v>34</v>
      </c>
      <c r="C101" s="428"/>
      <c r="D101" s="428"/>
      <c r="E101" s="428"/>
      <c r="F101" s="428"/>
      <c r="G101" s="428"/>
      <c r="H101" s="428"/>
      <c r="I101" s="428"/>
      <c r="J101" s="428"/>
      <c r="K101" s="428"/>
      <c r="L101" s="428"/>
      <c r="M101" s="428"/>
      <c r="N101" s="470">
        <v>0</v>
      </c>
      <c r="O101" s="430"/>
      <c r="P101" s="418"/>
    </row>
    <row r="102" spans="1:16" s="419" customFormat="1" x14ac:dyDescent="0.3">
      <c r="A102" s="427">
        <f t="shared" si="0"/>
        <v>12</v>
      </c>
      <c r="B102" s="428" t="s">
        <v>181</v>
      </c>
      <c r="C102" s="428"/>
      <c r="D102" s="428"/>
      <c r="E102" s="428"/>
      <c r="F102" s="428"/>
      <c r="G102" s="428"/>
      <c r="H102" s="428"/>
      <c r="I102" s="428"/>
      <c r="J102" s="428"/>
      <c r="K102" s="428"/>
      <c r="L102" s="428"/>
      <c r="M102" s="428"/>
      <c r="N102" s="470">
        <v>0</v>
      </c>
      <c r="O102" s="430"/>
      <c r="P102" s="418"/>
    </row>
    <row r="103" spans="1:16" s="419" customFormat="1" x14ac:dyDescent="0.3">
      <c r="A103" s="427">
        <f t="shared" si="0"/>
        <v>13</v>
      </c>
      <c r="B103" s="428" t="s">
        <v>139</v>
      </c>
      <c r="C103" s="428"/>
      <c r="D103" s="428"/>
      <c r="E103" s="428"/>
      <c r="F103" s="428"/>
      <c r="G103" s="428"/>
      <c r="H103" s="428"/>
      <c r="I103" s="428"/>
      <c r="J103" s="428"/>
      <c r="K103" s="428"/>
      <c r="L103" s="428"/>
      <c r="M103" s="428"/>
      <c r="N103" s="470">
        <v>-5</v>
      </c>
      <c r="O103" s="430"/>
      <c r="P103" s="418"/>
    </row>
    <row r="104" spans="1:16" s="419" customFormat="1" x14ac:dyDescent="0.3">
      <c r="A104" s="427">
        <f t="shared" si="0"/>
        <v>14</v>
      </c>
      <c r="B104" s="428" t="s">
        <v>122</v>
      </c>
      <c r="C104" s="428"/>
      <c r="D104" s="428"/>
      <c r="E104" s="428"/>
      <c r="F104" s="428"/>
      <c r="G104" s="428"/>
      <c r="H104" s="428"/>
      <c r="I104" s="428"/>
      <c r="J104" s="428"/>
      <c r="K104" s="428"/>
      <c r="L104" s="428"/>
      <c r="M104" s="428"/>
      <c r="N104" s="470">
        <f>-N87-SUM(N89:N103)</f>
        <v>-77</v>
      </c>
      <c r="O104" s="430"/>
      <c r="P104" s="418"/>
    </row>
    <row r="105" spans="1:16" x14ac:dyDescent="0.3">
      <c r="A105" s="442"/>
      <c r="B105" s="577" t="s">
        <v>35</v>
      </c>
      <c r="C105" s="443"/>
      <c r="D105" s="443"/>
      <c r="E105" s="443"/>
      <c r="F105" s="443"/>
      <c r="G105" s="443"/>
      <c r="H105" s="443"/>
      <c r="I105" s="443"/>
      <c r="J105" s="443"/>
      <c r="K105" s="443"/>
      <c r="L105" s="443"/>
      <c r="M105" s="443"/>
      <c r="N105" s="483"/>
      <c r="O105" s="445"/>
      <c r="P105" s="402"/>
    </row>
    <row r="106" spans="1:16" s="419" customFormat="1" x14ac:dyDescent="0.3">
      <c r="A106" s="427"/>
      <c r="B106" s="428" t="s">
        <v>160</v>
      </c>
      <c r="C106" s="428"/>
      <c r="D106" s="428"/>
      <c r="E106" s="428"/>
      <c r="F106" s="428"/>
      <c r="G106" s="428"/>
      <c r="H106" s="428"/>
      <c r="I106" s="428"/>
      <c r="J106" s="428"/>
      <c r="K106" s="428"/>
      <c r="L106" s="469">
        <v>0</v>
      </c>
      <c r="M106" s="469"/>
      <c r="N106" s="470"/>
      <c r="O106" s="430"/>
      <c r="P106" s="418"/>
    </row>
    <row r="107" spans="1:16" s="419" customFormat="1" x14ac:dyDescent="0.3">
      <c r="A107" s="427"/>
      <c r="B107" s="428" t="s">
        <v>161</v>
      </c>
      <c r="C107" s="428"/>
      <c r="D107" s="428"/>
      <c r="E107" s="428"/>
      <c r="F107" s="428"/>
      <c r="G107" s="428"/>
      <c r="H107" s="428"/>
      <c r="I107" s="428"/>
      <c r="J107" s="428"/>
      <c r="K107" s="428"/>
      <c r="L107" s="469">
        <v>0</v>
      </c>
      <c r="M107" s="469"/>
      <c r="N107" s="470"/>
      <c r="O107" s="430"/>
      <c r="P107" s="418"/>
    </row>
    <row r="108" spans="1:16" s="419" customFormat="1" x14ac:dyDescent="0.3">
      <c r="A108" s="427"/>
      <c r="B108" s="428" t="s">
        <v>200</v>
      </c>
      <c r="C108" s="428"/>
      <c r="D108" s="428"/>
      <c r="E108" s="428"/>
      <c r="F108" s="428"/>
      <c r="G108" s="428"/>
      <c r="H108" s="428"/>
      <c r="I108" s="428"/>
      <c r="J108" s="428"/>
      <c r="K108" s="428"/>
      <c r="L108" s="469">
        <v>-619</v>
      </c>
      <c r="M108" s="469"/>
      <c r="N108" s="470"/>
      <c r="O108" s="430"/>
      <c r="P108" s="418"/>
    </row>
    <row r="109" spans="1:16" s="419" customFormat="1" x14ac:dyDescent="0.3">
      <c r="A109" s="427"/>
      <c r="B109" s="428" t="s">
        <v>201</v>
      </c>
      <c r="C109" s="428"/>
      <c r="D109" s="428"/>
      <c r="E109" s="428"/>
      <c r="F109" s="428"/>
      <c r="G109" s="428"/>
      <c r="H109" s="428"/>
      <c r="I109" s="428"/>
      <c r="J109" s="428"/>
      <c r="K109" s="428"/>
      <c r="L109" s="469">
        <v>0</v>
      </c>
      <c r="M109" s="469"/>
      <c r="N109" s="470"/>
      <c r="O109" s="430"/>
      <c r="P109" s="418"/>
    </row>
    <row r="110" spans="1:16" s="419" customFormat="1" x14ac:dyDescent="0.3">
      <c r="A110" s="427"/>
      <c r="B110" s="428" t="s">
        <v>202</v>
      </c>
      <c r="C110" s="428"/>
      <c r="D110" s="428"/>
      <c r="E110" s="428"/>
      <c r="F110" s="428"/>
      <c r="G110" s="428"/>
      <c r="H110" s="428"/>
      <c r="I110" s="428"/>
      <c r="J110" s="428"/>
      <c r="K110" s="428"/>
      <c r="L110" s="469">
        <v>0</v>
      </c>
      <c r="M110" s="469"/>
      <c r="N110" s="470"/>
      <c r="O110" s="430"/>
      <c r="P110" s="418"/>
    </row>
    <row r="111" spans="1:16" s="419" customFormat="1" x14ac:dyDescent="0.3">
      <c r="A111" s="427"/>
      <c r="B111" s="428" t="s">
        <v>36</v>
      </c>
      <c r="C111" s="428"/>
      <c r="D111" s="428"/>
      <c r="E111" s="428"/>
      <c r="F111" s="428"/>
      <c r="G111" s="428"/>
      <c r="H111" s="428"/>
      <c r="I111" s="428"/>
      <c r="J111" s="428"/>
      <c r="K111" s="428"/>
      <c r="L111" s="469">
        <f>SUM(L106:L110)</f>
        <v>-619</v>
      </c>
      <c r="M111" s="469"/>
      <c r="N111" s="469">
        <f>SUM(N88:N109)</f>
        <v>-148</v>
      </c>
      <c r="O111" s="430"/>
      <c r="P111" s="418"/>
    </row>
    <row r="112" spans="1:16" s="419" customFormat="1" x14ac:dyDescent="0.3">
      <c r="A112" s="427"/>
      <c r="B112" s="428" t="s">
        <v>37</v>
      </c>
      <c r="C112" s="428"/>
      <c r="D112" s="428"/>
      <c r="E112" s="428"/>
      <c r="F112" s="428"/>
      <c r="G112" s="428"/>
      <c r="H112" s="428"/>
      <c r="I112" s="428"/>
      <c r="J112" s="428"/>
      <c r="K112" s="428"/>
      <c r="L112" s="469">
        <f>L87+L111+L98</f>
        <v>0</v>
      </c>
      <c r="M112" s="469"/>
      <c r="N112" s="469">
        <f>N87+N111</f>
        <v>0</v>
      </c>
      <c r="O112" s="430"/>
      <c r="P112" s="418"/>
    </row>
    <row r="113" spans="1:17" s="419" customFormat="1" x14ac:dyDescent="0.3">
      <c r="A113" s="415"/>
      <c r="B113" s="458"/>
      <c r="C113" s="458"/>
      <c r="D113" s="458"/>
      <c r="E113" s="458"/>
      <c r="F113" s="458"/>
      <c r="G113" s="458"/>
      <c r="H113" s="458"/>
      <c r="I113" s="458"/>
      <c r="J113" s="458"/>
      <c r="K113" s="458"/>
      <c r="L113" s="484"/>
      <c r="M113" s="484"/>
      <c r="N113" s="484"/>
      <c r="O113" s="458"/>
      <c r="P113" s="418"/>
    </row>
    <row r="114" spans="1:17" s="419" customFormat="1" x14ac:dyDescent="0.3">
      <c r="A114" s="415"/>
      <c r="B114" s="416"/>
      <c r="C114" s="416"/>
      <c r="D114" s="416"/>
      <c r="E114" s="416"/>
      <c r="F114" s="416"/>
      <c r="G114" s="416"/>
      <c r="H114" s="416"/>
      <c r="I114" s="416"/>
      <c r="J114" s="416"/>
      <c r="K114" s="416"/>
      <c r="L114" s="416"/>
      <c r="M114" s="416"/>
      <c r="N114" s="485"/>
      <c r="O114" s="416"/>
      <c r="P114" s="418"/>
    </row>
    <row r="115" spans="1:17" s="419" customFormat="1" ht="18.600000000000001" thickBot="1" x14ac:dyDescent="0.4">
      <c r="A115" s="463"/>
      <c r="B115" s="464" t="str">
        <f>B52</f>
        <v>FF7 INVESTOR REPORT QUARTER ENDING AUGUST 2018</v>
      </c>
      <c r="C115" s="465"/>
      <c r="D115" s="465"/>
      <c r="E115" s="465"/>
      <c r="F115" s="465"/>
      <c r="G115" s="465"/>
      <c r="H115" s="465"/>
      <c r="I115" s="465"/>
      <c r="J115" s="465"/>
      <c r="K115" s="465"/>
      <c r="L115" s="465"/>
      <c r="M115" s="465"/>
      <c r="N115" s="486"/>
      <c r="O115" s="467"/>
      <c r="P115" s="418"/>
    </row>
    <row r="116" spans="1:17" x14ac:dyDescent="0.3">
      <c r="A116" s="603"/>
      <c r="B116" s="604" t="s">
        <v>38</v>
      </c>
      <c r="C116" s="605"/>
      <c r="D116" s="605"/>
      <c r="E116" s="605"/>
      <c r="F116" s="605"/>
      <c r="G116" s="605"/>
      <c r="H116" s="605"/>
      <c r="I116" s="605"/>
      <c r="J116" s="605"/>
      <c r="K116" s="605"/>
      <c r="L116" s="605"/>
      <c r="M116" s="605"/>
      <c r="N116" s="606"/>
      <c r="O116" s="605"/>
      <c r="P116" s="402"/>
    </row>
    <row r="117" spans="1:17" x14ac:dyDescent="0.3">
      <c r="A117" s="404"/>
      <c r="B117" s="487"/>
      <c r="C117" s="406"/>
      <c r="D117" s="406"/>
      <c r="E117" s="406"/>
      <c r="F117" s="406"/>
      <c r="G117" s="406"/>
      <c r="H117" s="406"/>
      <c r="I117" s="406"/>
      <c r="J117" s="406"/>
      <c r="K117" s="406"/>
      <c r="L117" s="406"/>
      <c r="M117" s="406"/>
      <c r="N117" s="468"/>
      <c r="O117" s="406"/>
      <c r="P117" s="402"/>
    </row>
    <row r="118" spans="1:17" x14ac:dyDescent="0.3">
      <c r="A118" s="404"/>
      <c r="B118" s="578" t="s">
        <v>39</v>
      </c>
      <c r="C118" s="406"/>
      <c r="D118" s="406"/>
      <c r="E118" s="406"/>
      <c r="F118" s="406"/>
      <c r="G118" s="406"/>
      <c r="H118" s="406"/>
      <c r="I118" s="406"/>
      <c r="J118" s="406"/>
      <c r="K118" s="406"/>
      <c r="L118" s="406"/>
      <c r="M118" s="406"/>
      <c r="N118" s="468"/>
      <c r="O118" s="406"/>
      <c r="P118" s="402"/>
    </row>
    <row r="119" spans="1:17" s="419" customFormat="1" x14ac:dyDescent="0.3">
      <c r="A119" s="427"/>
      <c r="B119" s="428" t="s">
        <v>40</v>
      </c>
      <c r="C119" s="428"/>
      <c r="D119" s="428"/>
      <c r="E119" s="428"/>
      <c r="F119" s="428"/>
      <c r="G119" s="428"/>
      <c r="H119" s="428"/>
      <c r="I119" s="428"/>
      <c r="J119" s="428"/>
      <c r="K119" s="428"/>
      <c r="L119" s="428"/>
      <c r="M119" s="428"/>
      <c r="N119" s="470">
        <f>N28*0.003</f>
        <v>805.80000000000007</v>
      </c>
      <c r="O119" s="430"/>
      <c r="P119" s="418"/>
    </row>
    <row r="120" spans="1:17" s="419" customFormat="1" x14ac:dyDescent="0.3">
      <c r="A120" s="427"/>
      <c r="B120" s="428" t="s">
        <v>41</v>
      </c>
      <c r="C120" s="428"/>
      <c r="D120" s="428"/>
      <c r="E120" s="428"/>
      <c r="F120" s="428"/>
      <c r="G120" s="428"/>
      <c r="H120" s="428"/>
      <c r="I120" s="428"/>
      <c r="J120" s="428"/>
      <c r="K120" s="428"/>
      <c r="L120" s="428"/>
      <c r="M120" s="428"/>
      <c r="N120" s="470">
        <v>806</v>
      </c>
      <c r="O120" s="430"/>
      <c r="P120" s="418"/>
    </row>
    <row r="121" spans="1:17" s="419" customFormat="1" x14ac:dyDescent="0.3">
      <c r="A121" s="427"/>
      <c r="B121" s="428" t="s">
        <v>132</v>
      </c>
      <c r="C121" s="428"/>
      <c r="D121" s="428"/>
      <c r="E121" s="428"/>
      <c r="F121" s="428"/>
      <c r="G121" s="428"/>
      <c r="H121" s="428"/>
      <c r="I121" s="428"/>
      <c r="J121" s="428"/>
      <c r="K121" s="428"/>
      <c r="L121" s="428"/>
      <c r="M121" s="428"/>
      <c r="N121" s="470">
        <v>0</v>
      </c>
      <c r="O121" s="430"/>
      <c r="P121" s="418"/>
    </row>
    <row r="122" spans="1:17" s="419" customFormat="1" x14ac:dyDescent="0.3">
      <c r="A122" s="427"/>
      <c r="B122" s="428" t="s">
        <v>221</v>
      </c>
      <c r="C122" s="428"/>
      <c r="D122" s="428"/>
      <c r="E122" s="428"/>
      <c r="F122" s="428"/>
      <c r="G122" s="428"/>
      <c r="H122" s="428"/>
      <c r="I122" s="428"/>
      <c r="J122" s="428"/>
      <c r="K122" s="428"/>
      <c r="L122" s="428"/>
      <c r="M122" s="428"/>
      <c r="N122" s="470">
        <v>0</v>
      </c>
      <c r="O122" s="430"/>
      <c r="P122" s="418"/>
    </row>
    <row r="123" spans="1:17" s="419" customFormat="1" x14ac:dyDescent="0.3">
      <c r="A123" s="427"/>
      <c r="B123" s="428" t="s">
        <v>222</v>
      </c>
      <c r="C123" s="428"/>
      <c r="D123" s="428"/>
      <c r="E123" s="428"/>
      <c r="F123" s="428"/>
      <c r="G123" s="428"/>
      <c r="H123" s="428"/>
      <c r="I123" s="428"/>
      <c r="J123" s="428"/>
      <c r="K123" s="428"/>
      <c r="L123" s="428"/>
      <c r="M123" s="428"/>
      <c r="N123" s="470">
        <v>0</v>
      </c>
      <c r="O123" s="430"/>
      <c r="P123" s="418"/>
    </row>
    <row r="124" spans="1:17" s="419" customFormat="1" x14ac:dyDescent="0.3">
      <c r="A124" s="427"/>
      <c r="B124" s="428" t="s">
        <v>223</v>
      </c>
      <c r="C124" s="428"/>
      <c r="D124" s="428"/>
      <c r="E124" s="428"/>
      <c r="F124" s="428"/>
      <c r="G124" s="428"/>
      <c r="H124" s="428"/>
      <c r="I124" s="428"/>
      <c r="J124" s="428"/>
      <c r="K124" s="428"/>
      <c r="L124" s="428"/>
      <c r="M124" s="428"/>
      <c r="N124" s="470">
        <v>0</v>
      </c>
      <c r="O124" s="430"/>
      <c r="P124" s="418"/>
    </row>
    <row r="125" spans="1:17" s="419" customFormat="1" x14ac:dyDescent="0.3">
      <c r="A125" s="427"/>
      <c r="B125" s="428" t="s">
        <v>42</v>
      </c>
      <c r="C125" s="428"/>
      <c r="D125" s="428"/>
      <c r="E125" s="428"/>
      <c r="F125" s="428"/>
      <c r="G125" s="428"/>
      <c r="H125" s="428"/>
      <c r="I125" s="428"/>
      <c r="J125" s="428"/>
      <c r="K125" s="428"/>
      <c r="L125" s="428"/>
      <c r="M125" s="428"/>
      <c r="N125" s="470">
        <v>0</v>
      </c>
      <c r="O125" s="430"/>
      <c r="P125" s="418"/>
    </row>
    <row r="126" spans="1:17" s="419" customFormat="1" x14ac:dyDescent="0.3">
      <c r="A126" s="427"/>
      <c r="B126" s="428" t="s">
        <v>125</v>
      </c>
      <c r="C126" s="428"/>
      <c r="D126" s="428"/>
      <c r="E126" s="428"/>
      <c r="F126" s="428"/>
      <c r="G126" s="428"/>
      <c r="H126" s="428"/>
      <c r="I126" s="428"/>
      <c r="J126" s="428"/>
      <c r="K126" s="428"/>
      <c r="L126" s="428"/>
      <c r="M126" s="428"/>
      <c r="N126" s="470">
        <v>0</v>
      </c>
      <c r="O126" s="430"/>
      <c r="P126" s="418"/>
    </row>
    <row r="127" spans="1:17" s="419" customFormat="1" x14ac:dyDescent="0.3">
      <c r="A127" s="427"/>
      <c r="B127" s="428" t="s">
        <v>225</v>
      </c>
      <c r="C127" s="428"/>
      <c r="D127" s="428"/>
      <c r="E127" s="428"/>
      <c r="F127" s="428"/>
      <c r="G127" s="428"/>
      <c r="H127" s="428"/>
      <c r="I127" s="428"/>
      <c r="J127" s="428"/>
      <c r="K127" s="428"/>
      <c r="L127" s="428"/>
      <c r="M127" s="428"/>
      <c r="N127" s="470">
        <v>0</v>
      </c>
      <c r="O127" s="430"/>
      <c r="P127" s="418"/>
      <c r="Q127" s="482"/>
    </row>
    <row r="128" spans="1:17" s="419" customFormat="1" x14ac:dyDescent="0.3">
      <c r="A128" s="427"/>
      <c r="B128" s="428" t="s">
        <v>43</v>
      </c>
      <c r="C128" s="428"/>
      <c r="D128" s="428"/>
      <c r="E128" s="428"/>
      <c r="F128" s="428"/>
      <c r="G128" s="428"/>
      <c r="H128" s="428"/>
      <c r="I128" s="428"/>
      <c r="J128" s="428"/>
      <c r="K128" s="428"/>
      <c r="L128" s="428"/>
      <c r="M128" s="428"/>
      <c r="N128" s="470">
        <f>SUM(N120:N127)</f>
        <v>806</v>
      </c>
      <c r="O128" s="430"/>
      <c r="P128" s="418"/>
    </row>
    <row r="129" spans="1:16" x14ac:dyDescent="0.3">
      <c r="A129" s="442"/>
      <c r="B129" s="443"/>
      <c r="C129" s="443"/>
      <c r="D129" s="443"/>
      <c r="E129" s="443"/>
      <c r="F129" s="443"/>
      <c r="G129" s="443"/>
      <c r="H129" s="443"/>
      <c r="I129" s="443"/>
      <c r="J129" s="443"/>
      <c r="K129" s="443"/>
      <c r="L129" s="443"/>
      <c r="M129" s="443"/>
      <c r="N129" s="481"/>
      <c r="O129" s="445"/>
      <c r="P129" s="402"/>
    </row>
    <row r="130" spans="1:16" x14ac:dyDescent="0.3">
      <c r="A130" s="442"/>
      <c r="B130" s="577" t="s">
        <v>179</v>
      </c>
      <c r="C130" s="443"/>
      <c r="D130" s="443"/>
      <c r="E130" s="443"/>
      <c r="F130" s="443"/>
      <c r="G130" s="443"/>
      <c r="H130" s="443"/>
      <c r="I130" s="443"/>
      <c r="J130" s="443"/>
      <c r="K130" s="443"/>
      <c r="L130" s="443"/>
      <c r="M130" s="443"/>
      <c r="N130" s="481"/>
      <c r="O130" s="445"/>
      <c r="P130" s="402"/>
    </row>
    <row r="131" spans="1:16" s="419" customFormat="1" x14ac:dyDescent="0.3">
      <c r="A131" s="427"/>
      <c r="B131" s="428" t="s">
        <v>144</v>
      </c>
      <c r="C131" s="428"/>
      <c r="D131" s="428"/>
      <c r="E131" s="428"/>
      <c r="F131" s="428"/>
      <c r="G131" s="428"/>
      <c r="H131" s="428"/>
      <c r="I131" s="428"/>
      <c r="J131" s="428"/>
      <c r="K131" s="428"/>
      <c r="L131" s="428"/>
      <c r="M131" s="428"/>
      <c r="N131" s="470">
        <v>7098</v>
      </c>
      <c r="O131" s="430"/>
      <c r="P131" s="418"/>
    </row>
    <row r="132" spans="1:16" s="419" customFormat="1" x14ac:dyDescent="0.3">
      <c r="A132" s="427"/>
      <c r="B132" s="428" t="s">
        <v>159</v>
      </c>
      <c r="C132" s="428"/>
      <c r="D132" s="428"/>
      <c r="E132" s="428"/>
      <c r="F132" s="428"/>
      <c r="G132" s="428"/>
      <c r="H132" s="428"/>
      <c r="I132" s="428"/>
      <c r="J132" s="428"/>
      <c r="K132" s="428"/>
      <c r="L132" s="428"/>
      <c r="M132" s="428"/>
      <c r="N132" s="470">
        <v>0</v>
      </c>
      <c r="O132" s="430"/>
      <c r="P132" s="418"/>
    </row>
    <row r="133" spans="1:16" s="419" customFormat="1" x14ac:dyDescent="0.3">
      <c r="A133" s="427"/>
      <c r="B133" s="428" t="s">
        <v>278</v>
      </c>
      <c r="C133" s="428"/>
      <c r="D133" s="428"/>
      <c r="E133" s="428"/>
      <c r="F133" s="428"/>
      <c r="G133" s="428"/>
      <c r="H133" s="428"/>
      <c r="I133" s="428"/>
      <c r="J133" s="428"/>
      <c r="K133" s="428"/>
      <c r="L133" s="428"/>
      <c r="M133" s="428"/>
      <c r="N133" s="470">
        <v>0</v>
      </c>
      <c r="O133" s="430"/>
      <c r="P133" s="418"/>
    </row>
    <row r="134" spans="1:16" x14ac:dyDescent="0.3">
      <c r="A134" s="442"/>
      <c r="B134" s="443"/>
      <c r="C134" s="443"/>
      <c r="D134" s="443"/>
      <c r="E134" s="443"/>
      <c r="F134" s="443"/>
      <c r="G134" s="443"/>
      <c r="H134" s="443"/>
      <c r="I134" s="443"/>
      <c r="J134" s="443"/>
      <c r="K134" s="443"/>
      <c r="L134" s="443"/>
      <c r="M134" s="443"/>
      <c r="N134" s="481"/>
      <c r="O134" s="445"/>
      <c r="P134" s="402"/>
    </row>
    <row r="135" spans="1:16" x14ac:dyDescent="0.3">
      <c r="A135" s="404"/>
      <c r="B135" s="471"/>
      <c r="C135" s="471"/>
      <c r="D135" s="471"/>
      <c r="E135" s="471"/>
      <c r="F135" s="471"/>
      <c r="G135" s="471"/>
      <c r="H135" s="471"/>
      <c r="I135" s="471"/>
      <c r="J135" s="471"/>
      <c r="K135" s="471"/>
      <c r="L135" s="471"/>
      <c r="M135" s="471"/>
      <c r="N135" s="488"/>
      <c r="O135" s="471"/>
      <c r="P135" s="402"/>
    </row>
    <row r="136" spans="1:16" x14ac:dyDescent="0.3">
      <c r="A136" s="404"/>
      <c r="B136" s="578" t="s">
        <v>22</v>
      </c>
      <c r="C136" s="406"/>
      <c r="D136" s="406"/>
      <c r="E136" s="406"/>
      <c r="F136" s="406"/>
      <c r="G136" s="406"/>
      <c r="H136" s="406"/>
      <c r="I136" s="406"/>
      <c r="J136" s="406"/>
      <c r="K136" s="406"/>
      <c r="L136" s="406"/>
      <c r="M136" s="406"/>
      <c r="N136" s="468"/>
      <c r="O136" s="406"/>
      <c r="P136" s="402"/>
    </row>
    <row r="137" spans="1:16" s="419" customFormat="1" x14ac:dyDescent="0.3">
      <c r="A137" s="427"/>
      <c r="B137" s="428" t="s">
        <v>44</v>
      </c>
      <c r="C137" s="428"/>
      <c r="D137" s="428"/>
      <c r="E137" s="428"/>
      <c r="F137" s="428"/>
      <c r="G137" s="428"/>
      <c r="H137" s="428"/>
      <c r="I137" s="428"/>
      <c r="J137" s="428"/>
      <c r="K137" s="428"/>
      <c r="L137" s="428"/>
      <c r="M137" s="428"/>
      <c r="N137" s="489" t="s">
        <v>117</v>
      </c>
      <c r="O137" s="430"/>
      <c r="P137" s="418"/>
    </row>
    <row r="138" spans="1:16" s="419" customFormat="1" x14ac:dyDescent="0.3">
      <c r="A138" s="427"/>
      <c r="B138" s="428" t="s">
        <v>45</v>
      </c>
      <c r="C138" s="428"/>
      <c r="D138" s="428"/>
      <c r="E138" s="428"/>
      <c r="F138" s="428"/>
      <c r="G138" s="428"/>
      <c r="H138" s="428"/>
      <c r="I138" s="428"/>
      <c r="J138" s="428"/>
      <c r="K138" s="428"/>
      <c r="L138" s="428"/>
      <c r="M138" s="428"/>
      <c r="N138" s="489" t="s">
        <v>117</v>
      </c>
      <c r="O138" s="430"/>
      <c r="P138" s="418"/>
    </row>
    <row r="139" spans="1:16" s="419" customFormat="1" x14ac:dyDescent="0.3">
      <c r="A139" s="427"/>
      <c r="B139" s="428" t="s">
        <v>46</v>
      </c>
      <c r="C139" s="428"/>
      <c r="D139" s="428"/>
      <c r="E139" s="428"/>
      <c r="F139" s="428"/>
      <c r="G139" s="428"/>
      <c r="H139" s="428"/>
      <c r="I139" s="428"/>
      <c r="J139" s="428"/>
      <c r="K139" s="428"/>
      <c r="L139" s="428"/>
      <c r="M139" s="428"/>
      <c r="N139" s="489" t="s">
        <v>117</v>
      </c>
      <c r="O139" s="430"/>
      <c r="P139" s="418"/>
    </row>
    <row r="140" spans="1:16" s="419" customFormat="1" x14ac:dyDescent="0.3">
      <c r="A140" s="427"/>
      <c r="B140" s="428" t="s">
        <v>47</v>
      </c>
      <c r="C140" s="428"/>
      <c r="D140" s="428"/>
      <c r="E140" s="428"/>
      <c r="F140" s="428"/>
      <c r="G140" s="428"/>
      <c r="H140" s="428"/>
      <c r="I140" s="428"/>
      <c r="J140" s="428"/>
      <c r="K140" s="428"/>
      <c r="L140" s="428"/>
      <c r="M140" s="428"/>
      <c r="N140" s="489" t="s">
        <v>117</v>
      </c>
      <c r="O140" s="430"/>
      <c r="P140" s="418"/>
    </row>
    <row r="141" spans="1:16" x14ac:dyDescent="0.3">
      <c r="A141" s="404"/>
      <c r="B141" s="471"/>
      <c r="C141" s="471"/>
      <c r="D141" s="471"/>
      <c r="E141" s="471"/>
      <c r="F141" s="471"/>
      <c r="G141" s="471"/>
      <c r="H141" s="471"/>
      <c r="I141" s="471"/>
      <c r="J141" s="471"/>
      <c r="K141" s="471"/>
      <c r="L141" s="471"/>
      <c r="M141" s="471"/>
      <c r="N141" s="488"/>
      <c r="O141" s="471"/>
      <c r="P141" s="402"/>
    </row>
    <row r="142" spans="1:16" x14ac:dyDescent="0.3">
      <c r="A142" s="404"/>
      <c r="B142" s="578" t="s">
        <v>48</v>
      </c>
      <c r="C142" s="406"/>
      <c r="D142" s="406"/>
      <c r="E142" s="406"/>
      <c r="F142" s="406"/>
      <c r="G142" s="406"/>
      <c r="H142" s="406"/>
      <c r="I142" s="406"/>
      <c r="J142" s="406"/>
      <c r="K142" s="406"/>
      <c r="L142" s="406"/>
      <c r="M142" s="406"/>
      <c r="N142" s="490"/>
      <c r="O142" s="406"/>
      <c r="P142" s="402"/>
    </row>
    <row r="143" spans="1:16" s="419" customFormat="1" x14ac:dyDescent="0.3">
      <c r="A143" s="427"/>
      <c r="B143" s="428" t="s">
        <v>49</v>
      </c>
      <c r="C143" s="428"/>
      <c r="D143" s="428"/>
      <c r="E143" s="428"/>
      <c r="F143" s="428"/>
      <c r="G143" s="428"/>
      <c r="H143" s="428"/>
      <c r="I143" s="428"/>
      <c r="J143" s="428"/>
      <c r="K143" s="428"/>
      <c r="L143" s="428"/>
      <c r="M143" s="428"/>
      <c r="N143" s="470">
        <v>0</v>
      </c>
      <c r="O143" s="430"/>
      <c r="P143" s="418"/>
    </row>
    <row r="144" spans="1:16" s="419" customFormat="1" x14ac:dyDescent="0.3">
      <c r="A144" s="427"/>
      <c r="B144" s="428" t="s">
        <v>50</v>
      </c>
      <c r="C144" s="428"/>
      <c r="D144" s="428"/>
      <c r="E144" s="428"/>
      <c r="F144" s="428"/>
      <c r="G144" s="428"/>
      <c r="H144" s="428"/>
      <c r="I144" s="428"/>
      <c r="J144" s="428"/>
      <c r="K144" s="428"/>
      <c r="L144" s="428"/>
      <c r="M144" s="428"/>
      <c r="N144" s="470">
        <v>0</v>
      </c>
      <c r="O144" s="430"/>
      <c r="P144" s="418"/>
    </row>
    <row r="145" spans="1:256" s="419" customFormat="1" x14ac:dyDescent="0.3">
      <c r="A145" s="427"/>
      <c r="B145" s="428" t="s">
        <v>51</v>
      </c>
      <c r="C145" s="428"/>
      <c r="D145" s="428"/>
      <c r="E145" s="428"/>
      <c r="F145" s="428"/>
      <c r="G145" s="428"/>
      <c r="H145" s="428"/>
      <c r="I145" s="428"/>
      <c r="J145" s="428"/>
      <c r="K145" s="428"/>
      <c r="L145" s="428"/>
      <c r="M145" s="428"/>
      <c r="N145" s="470">
        <f>+N143+N144</f>
        <v>0</v>
      </c>
      <c r="O145" s="430"/>
      <c r="P145" s="418"/>
    </row>
    <row r="146" spans="1:256" s="419" customFormat="1" x14ac:dyDescent="0.3">
      <c r="A146" s="427"/>
      <c r="B146" s="428" t="s">
        <v>264</v>
      </c>
      <c r="C146" s="428"/>
      <c r="D146" s="428"/>
      <c r="E146" s="428"/>
      <c r="F146" s="428"/>
      <c r="G146" s="428"/>
      <c r="H146" s="428"/>
      <c r="I146" s="428"/>
      <c r="J146" s="428"/>
      <c r="K146" s="428"/>
      <c r="L146" s="428"/>
      <c r="M146" s="428"/>
      <c r="N146" s="470">
        <f>N98</f>
        <v>0</v>
      </c>
      <c r="O146" s="430"/>
      <c r="P146" s="418"/>
    </row>
    <row r="147" spans="1:256" s="419" customFormat="1" x14ac:dyDescent="0.3">
      <c r="A147" s="427"/>
      <c r="B147" s="428" t="s">
        <v>52</v>
      </c>
      <c r="C147" s="428"/>
      <c r="D147" s="428"/>
      <c r="E147" s="428"/>
      <c r="F147" s="428"/>
      <c r="G147" s="428"/>
      <c r="H147" s="428"/>
      <c r="I147" s="428"/>
      <c r="J147" s="428"/>
      <c r="K147" s="428"/>
      <c r="L147" s="428"/>
      <c r="M147" s="428"/>
      <c r="N147" s="470">
        <f>N145+N146</f>
        <v>0</v>
      </c>
      <c r="O147" s="430"/>
      <c r="P147" s="418"/>
    </row>
    <row r="148" spans="1:256" ht="16.2" thickBot="1" x14ac:dyDescent="0.35">
      <c r="A148" s="404"/>
      <c r="B148" s="471"/>
      <c r="C148" s="471"/>
      <c r="D148" s="471"/>
      <c r="E148" s="471"/>
      <c r="F148" s="471"/>
      <c r="G148" s="471"/>
      <c r="H148" s="471"/>
      <c r="I148" s="471"/>
      <c r="J148" s="471"/>
      <c r="K148" s="471"/>
      <c r="L148" s="471"/>
      <c r="M148" s="471"/>
      <c r="N148" s="488"/>
      <c r="O148" s="471"/>
      <c r="P148" s="402"/>
    </row>
    <row r="149" spans="1:256" x14ac:dyDescent="0.3">
      <c r="A149" s="399"/>
      <c r="B149" s="401"/>
      <c r="C149" s="401"/>
      <c r="D149" s="401"/>
      <c r="E149" s="401"/>
      <c r="F149" s="401"/>
      <c r="G149" s="401"/>
      <c r="H149" s="401"/>
      <c r="I149" s="401"/>
      <c r="J149" s="401"/>
      <c r="K149" s="401"/>
      <c r="L149" s="401"/>
      <c r="M149" s="401"/>
      <c r="N149" s="491"/>
      <c r="O149" s="401"/>
      <c r="P149" s="402"/>
    </row>
    <row r="150" spans="1:256" x14ac:dyDescent="0.3">
      <c r="A150" s="404"/>
      <c r="B150" s="578" t="s">
        <v>53</v>
      </c>
      <c r="C150" s="406"/>
      <c r="D150" s="406"/>
      <c r="E150" s="406"/>
      <c r="F150" s="406"/>
      <c r="G150" s="406"/>
      <c r="H150" s="406"/>
      <c r="I150" s="406"/>
      <c r="J150" s="406"/>
      <c r="K150" s="406"/>
      <c r="L150" s="406"/>
      <c r="M150" s="406"/>
      <c r="N150" s="468"/>
      <c r="O150" s="406"/>
      <c r="P150" s="402"/>
    </row>
    <row r="151" spans="1:256" x14ac:dyDescent="0.3">
      <c r="A151" s="404"/>
      <c r="B151" s="487"/>
      <c r="C151" s="406"/>
      <c r="D151" s="406"/>
      <c r="E151" s="406"/>
      <c r="F151" s="406"/>
      <c r="G151" s="406"/>
      <c r="H151" s="406"/>
      <c r="I151" s="406"/>
      <c r="J151" s="406"/>
      <c r="K151" s="406"/>
      <c r="L151" s="406"/>
      <c r="M151" s="406"/>
      <c r="N151" s="468"/>
      <c r="O151" s="406"/>
      <c r="P151" s="402"/>
    </row>
    <row r="152" spans="1:256" s="419" customFormat="1" x14ac:dyDescent="0.3">
      <c r="A152" s="427"/>
      <c r="B152" s="428" t="s">
        <v>234</v>
      </c>
      <c r="C152" s="428"/>
      <c r="D152" s="428"/>
      <c r="E152" s="428"/>
      <c r="F152" s="428"/>
      <c r="G152" s="428"/>
      <c r="H152" s="428"/>
      <c r="I152" s="428"/>
      <c r="J152" s="428"/>
      <c r="K152" s="428"/>
      <c r="L152" s="428"/>
      <c r="M152" s="428"/>
      <c r="N152" s="470">
        <f>N56</f>
        <v>12392</v>
      </c>
      <c r="O152" s="430"/>
      <c r="P152" s="418"/>
      <c r="Q152" s="482"/>
    </row>
    <row r="153" spans="1:256" s="419" customFormat="1" x14ac:dyDescent="0.3">
      <c r="A153" s="427"/>
      <c r="B153" s="428" t="s">
        <v>54</v>
      </c>
      <c r="C153" s="428"/>
      <c r="D153" s="428"/>
      <c r="E153" s="428"/>
      <c r="F153" s="428"/>
      <c r="G153" s="428"/>
      <c r="H153" s="428"/>
      <c r="I153" s="428"/>
      <c r="J153" s="428"/>
      <c r="K153" s="428"/>
      <c r="L153" s="428"/>
      <c r="M153" s="428"/>
      <c r="N153" s="470">
        <f>N72</f>
        <v>12392</v>
      </c>
      <c r="O153" s="430"/>
      <c r="P153" s="418"/>
    </row>
    <row r="154" spans="1:256" ht="16.2" thickBot="1" x14ac:dyDescent="0.35">
      <c r="A154" s="404"/>
      <c r="B154" s="471"/>
      <c r="C154" s="471"/>
      <c r="D154" s="471"/>
      <c r="E154" s="471"/>
      <c r="F154" s="471"/>
      <c r="G154" s="471"/>
      <c r="H154" s="471"/>
      <c r="I154" s="471"/>
      <c r="J154" s="471"/>
      <c r="K154" s="471"/>
      <c r="L154" s="471"/>
      <c r="M154" s="471"/>
      <c r="N154" s="488"/>
      <c r="O154" s="471"/>
      <c r="P154" s="402"/>
    </row>
    <row r="155" spans="1:256" s="492" customFormat="1" x14ac:dyDescent="0.3">
      <c r="A155" s="399"/>
      <c r="B155" s="401"/>
      <c r="C155" s="401"/>
      <c r="D155" s="401"/>
      <c r="E155" s="401"/>
      <c r="F155" s="401"/>
      <c r="G155" s="401"/>
      <c r="H155" s="401"/>
      <c r="I155" s="401"/>
      <c r="J155" s="401"/>
      <c r="K155" s="401"/>
      <c r="L155" s="401"/>
      <c r="M155" s="401"/>
      <c r="N155" s="491"/>
      <c r="O155" s="401"/>
      <c r="P155" s="402"/>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c r="AN155" s="403"/>
      <c r="AO155" s="403"/>
      <c r="AP155" s="403"/>
      <c r="AQ155" s="403"/>
      <c r="AR155" s="403"/>
      <c r="AS155" s="403"/>
      <c r="AT155" s="403"/>
      <c r="AU155" s="403"/>
      <c r="AV155" s="403"/>
      <c r="AW155" s="403"/>
      <c r="AX155" s="403"/>
      <c r="AY155" s="403"/>
      <c r="AZ155" s="403"/>
      <c r="BA155" s="403"/>
      <c r="BB155" s="403"/>
      <c r="BC155" s="403"/>
      <c r="BD155" s="403"/>
      <c r="BE155" s="403"/>
      <c r="BF155" s="403"/>
      <c r="BG155" s="403"/>
      <c r="BH155" s="403"/>
      <c r="BI155" s="403"/>
      <c r="BJ155" s="403"/>
      <c r="BK155" s="403"/>
      <c r="BL155" s="403"/>
      <c r="BM155" s="403"/>
      <c r="BN155" s="403"/>
      <c r="BO155" s="403"/>
      <c r="BP155" s="403"/>
      <c r="BQ155" s="403"/>
      <c r="BR155" s="403"/>
      <c r="BS155" s="403"/>
      <c r="BT155" s="403"/>
      <c r="BU155" s="403"/>
      <c r="BV155" s="403"/>
      <c r="BW155" s="403"/>
      <c r="BX155" s="403"/>
      <c r="BY155" s="403"/>
      <c r="BZ155" s="403"/>
      <c r="CA155" s="403"/>
      <c r="CB155" s="403"/>
      <c r="CC155" s="403"/>
      <c r="CD155" s="403"/>
      <c r="CE155" s="403"/>
      <c r="CF155" s="403"/>
      <c r="CG155" s="403"/>
      <c r="CH155" s="403"/>
      <c r="CI155" s="403"/>
      <c r="CJ155" s="403"/>
      <c r="CK155" s="403"/>
      <c r="CL155" s="403"/>
      <c r="CM155" s="403"/>
      <c r="CN155" s="403"/>
      <c r="CO155" s="403"/>
      <c r="CP155" s="403"/>
      <c r="CQ155" s="403"/>
      <c r="CR155" s="403"/>
      <c r="CS155" s="403"/>
      <c r="CT155" s="403"/>
      <c r="CU155" s="403"/>
      <c r="CV155" s="403"/>
      <c r="CW155" s="403"/>
      <c r="CX155" s="403"/>
      <c r="CY155" s="403"/>
      <c r="CZ155" s="403"/>
      <c r="DA155" s="403"/>
      <c r="DB155" s="403"/>
      <c r="DC155" s="403"/>
      <c r="DD155" s="403"/>
      <c r="DE155" s="403"/>
      <c r="DF155" s="403"/>
      <c r="DG155" s="403"/>
      <c r="DH155" s="403"/>
      <c r="DI155" s="403"/>
      <c r="DJ155" s="403"/>
      <c r="DK155" s="403"/>
      <c r="DL155" s="403"/>
      <c r="DM155" s="403"/>
      <c r="DN155" s="403"/>
      <c r="DO155" s="403"/>
      <c r="DP155" s="403"/>
      <c r="DQ155" s="403"/>
      <c r="DR155" s="403"/>
      <c r="DS155" s="403"/>
      <c r="DT155" s="403"/>
      <c r="DU155" s="403"/>
      <c r="DV155" s="403"/>
      <c r="DW155" s="403"/>
      <c r="DX155" s="403"/>
      <c r="DY155" s="403"/>
      <c r="DZ155" s="403"/>
      <c r="EA155" s="403"/>
      <c r="EB155" s="403"/>
      <c r="EC155" s="403"/>
      <c r="ED155" s="403"/>
      <c r="EE155" s="403"/>
      <c r="EF155" s="403"/>
      <c r="EG155" s="403"/>
      <c r="EH155" s="403"/>
      <c r="EI155" s="403"/>
      <c r="EJ155" s="403"/>
      <c r="EK155" s="403"/>
      <c r="EL155" s="403"/>
      <c r="EM155" s="403"/>
      <c r="EN155" s="403"/>
      <c r="EO155" s="403"/>
      <c r="EP155" s="403"/>
      <c r="EQ155" s="403"/>
      <c r="ER155" s="403"/>
      <c r="ES155" s="403"/>
      <c r="ET155" s="403"/>
      <c r="EU155" s="403"/>
      <c r="EV155" s="403"/>
      <c r="EW155" s="403"/>
      <c r="EX155" s="403"/>
      <c r="EY155" s="403"/>
      <c r="EZ155" s="403"/>
      <c r="FA155" s="403"/>
      <c r="FB155" s="403"/>
      <c r="FC155" s="403"/>
      <c r="FD155" s="403"/>
      <c r="FE155" s="403"/>
      <c r="FF155" s="403"/>
      <c r="FG155" s="403"/>
      <c r="FH155" s="403"/>
      <c r="FI155" s="403"/>
      <c r="FJ155" s="403"/>
      <c r="FK155" s="403"/>
      <c r="FL155" s="403"/>
      <c r="FM155" s="403"/>
      <c r="FN155" s="403"/>
      <c r="FO155" s="403"/>
      <c r="FP155" s="403"/>
      <c r="FQ155" s="403"/>
      <c r="FR155" s="403"/>
      <c r="FS155" s="403"/>
      <c r="FT155" s="403"/>
      <c r="FU155" s="403"/>
      <c r="FV155" s="403"/>
      <c r="FW155" s="403"/>
      <c r="FX155" s="403"/>
      <c r="FY155" s="403"/>
      <c r="FZ155" s="403"/>
      <c r="GA155" s="403"/>
      <c r="GB155" s="403"/>
      <c r="GC155" s="403"/>
      <c r="GD155" s="403"/>
      <c r="GE155" s="403"/>
      <c r="GF155" s="403"/>
      <c r="GG155" s="403"/>
      <c r="GH155" s="403"/>
      <c r="GI155" s="403"/>
      <c r="GJ155" s="403"/>
      <c r="GK155" s="403"/>
      <c r="GL155" s="403"/>
      <c r="GM155" s="403"/>
      <c r="GN155" s="403"/>
      <c r="GO155" s="403"/>
      <c r="GP155" s="403"/>
      <c r="GQ155" s="403"/>
      <c r="GR155" s="403"/>
      <c r="GS155" s="403"/>
      <c r="GT155" s="403"/>
      <c r="GU155" s="403"/>
      <c r="GV155" s="403"/>
      <c r="GW155" s="403"/>
      <c r="GX155" s="403"/>
      <c r="GY155" s="403"/>
      <c r="GZ155" s="403"/>
      <c r="HA155" s="403"/>
      <c r="HB155" s="403"/>
      <c r="HC155" s="403"/>
      <c r="HD155" s="403"/>
      <c r="HE155" s="403"/>
      <c r="HF155" s="403"/>
      <c r="HG155" s="403"/>
      <c r="HH155" s="403"/>
      <c r="HI155" s="403"/>
      <c r="HJ155" s="403"/>
      <c r="HK155" s="403"/>
      <c r="HL155" s="403"/>
      <c r="HM155" s="403"/>
      <c r="HN155" s="403"/>
      <c r="HO155" s="403"/>
      <c r="HP155" s="403"/>
      <c r="HQ155" s="403"/>
      <c r="HR155" s="403"/>
      <c r="HS155" s="403"/>
      <c r="HT155" s="403"/>
      <c r="HU155" s="403"/>
      <c r="HV155" s="403"/>
      <c r="HW155" s="403"/>
      <c r="HX155" s="403"/>
      <c r="HY155" s="403"/>
      <c r="HZ155" s="403"/>
      <c r="IA155" s="403"/>
      <c r="IB155" s="403"/>
      <c r="IC155" s="403"/>
      <c r="ID155" s="403"/>
      <c r="IE155" s="403"/>
      <c r="IF155" s="403"/>
      <c r="IG155" s="403"/>
      <c r="IH155" s="403"/>
      <c r="II155" s="403"/>
      <c r="IJ155" s="403"/>
      <c r="IK155" s="403"/>
      <c r="IL155" s="403"/>
      <c r="IM155" s="403"/>
      <c r="IN155" s="403"/>
      <c r="IO155" s="403"/>
      <c r="IP155" s="403"/>
      <c r="IQ155" s="403"/>
      <c r="IR155" s="403"/>
      <c r="IS155" s="403"/>
      <c r="IT155" s="403"/>
      <c r="IU155" s="403"/>
      <c r="IV155" s="403"/>
    </row>
    <row r="156" spans="1:256" s="493" customFormat="1" x14ac:dyDescent="0.3">
      <c r="A156" s="404"/>
      <c r="B156" s="579" t="s">
        <v>205</v>
      </c>
      <c r="C156" s="471"/>
      <c r="D156" s="471"/>
      <c r="E156" s="471"/>
      <c r="F156" s="471"/>
      <c r="G156" s="471"/>
      <c r="H156" s="471"/>
      <c r="I156" s="471"/>
      <c r="J156" s="471"/>
      <c r="K156" s="471"/>
      <c r="L156" s="471"/>
      <c r="M156" s="471"/>
      <c r="N156" s="488"/>
      <c r="O156" s="471"/>
      <c r="P156" s="402"/>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c r="BM156" s="403"/>
      <c r="BN156" s="403"/>
      <c r="BO156" s="403"/>
      <c r="BP156" s="403"/>
      <c r="BQ156" s="403"/>
      <c r="BR156" s="403"/>
      <c r="BS156" s="403"/>
      <c r="BT156" s="403"/>
      <c r="BU156" s="403"/>
      <c r="BV156" s="403"/>
      <c r="BW156" s="403"/>
      <c r="BX156" s="403"/>
      <c r="BY156" s="403"/>
      <c r="BZ156" s="403"/>
      <c r="CA156" s="403"/>
      <c r="CB156" s="403"/>
      <c r="CC156" s="403"/>
      <c r="CD156" s="403"/>
      <c r="CE156" s="403"/>
      <c r="CF156" s="403"/>
      <c r="CG156" s="403"/>
      <c r="CH156" s="403"/>
      <c r="CI156" s="403"/>
      <c r="CJ156" s="403"/>
      <c r="CK156" s="403"/>
      <c r="CL156" s="403"/>
      <c r="CM156" s="403"/>
      <c r="CN156" s="403"/>
      <c r="CO156" s="403"/>
      <c r="CP156" s="403"/>
      <c r="CQ156" s="403"/>
      <c r="CR156" s="403"/>
      <c r="CS156" s="403"/>
      <c r="CT156" s="403"/>
      <c r="CU156" s="403"/>
      <c r="CV156" s="403"/>
      <c r="CW156" s="403"/>
      <c r="CX156" s="403"/>
      <c r="CY156" s="403"/>
      <c r="CZ156" s="403"/>
      <c r="DA156" s="403"/>
      <c r="DB156" s="403"/>
      <c r="DC156" s="403"/>
      <c r="DD156" s="403"/>
      <c r="DE156" s="403"/>
      <c r="DF156" s="403"/>
      <c r="DG156" s="403"/>
      <c r="DH156" s="403"/>
      <c r="DI156" s="403"/>
      <c r="DJ156" s="403"/>
      <c r="DK156" s="403"/>
      <c r="DL156" s="403"/>
      <c r="DM156" s="403"/>
      <c r="DN156" s="403"/>
      <c r="DO156" s="403"/>
      <c r="DP156" s="403"/>
      <c r="DQ156" s="403"/>
      <c r="DR156" s="403"/>
      <c r="DS156" s="403"/>
      <c r="DT156" s="403"/>
      <c r="DU156" s="403"/>
      <c r="DV156" s="403"/>
      <c r="DW156" s="403"/>
      <c r="DX156" s="403"/>
      <c r="DY156" s="403"/>
      <c r="DZ156" s="403"/>
      <c r="EA156" s="403"/>
      <c r="EB156" s="403"/>
      <c r="EC156" s="403"/>
      <c r="ED156" s="403"/>
      <c r="EE156" s="403"/>
      <c r="EF156" s="403"/>
      <c r="EG156" s="403"/>
      <c r="EH156" s="403"/>
      <c r="EI156" s="403"/>
      <c r="EJ156" s="403"/>
      <c r="EK156" s="403"/>
      <c r="EL156" s="403"/>
      <c r="EM156" s="403"/>
      <c r="EN156" s="403"/>
      <c r="EO156" s="403"/>
      <c r="EP156" s="403"/>
      <c r="EQ156" s="403"/>
      <c r="ER156" s="403"/>
      <c r="ES156" s="403"/>
      <c r="ET156" s="403"/>
      <c r="EU156" s="403"/>
      <c r="EV156" s="403"/>
      <c r="EW156" s="403"/>
      <c r="EX156" s="403"/>
      <c r="EY156" s="403"/>
      <c r="EZ156" s="403"/>
      <c r="FA156" s="403"/>
      <c r="FB156" s="403"/>
      <c r="FC156" s="403"/>
      <c r="FD156" s="403"/>
      <c r="FE156" s="403"/>
      <c r="FF156" s="403"/>
      <c r="FG156" s="403"/>
      <c r="FH156" s="403"/>
      <c r="FI156" s="403"/>
      <c r="FJ156" s="403"/>
      <c r="FK156" s="403"/>
      <c r="FL156" s="403"/>
      <c r="FM156" s="403"/>
      <c r="FN156" s="403"/>
      <c r="FO156" s="403"/>
      <c r="FP156" s="403"/>
      <c r="FQ156" s="403"/>
      <c r="FR156" s="403"/>
      <c r="FS156" s="403"/>
      <c r="FT156" s="403"/>
      <c r="FU156" s="403"/>
      <c r="FV156" s="403"/>
      <c r="FW156" s="403"/>
      <c r="FX156" s="403"/>
      <c r="FY156" s="403"/>
      <c r="FZ156" s="403"/>
      <c r="GA156" s="403"/>
      <c r="GB156" s="403"/>
      <c r="GC156" s="403"/>
      <c r="GD156" s="403"/>
      <c r="GE156" s="403"/>
      <c r="GF156" s="403"/>
      <c r="GG156" s="403"/>
      <c r="GH156" s="403"/>
      <c r="GI156" s="403"/>
      <c r="GJ156" s="403"/>
      <c r="GK156" s="403"/>
      <c r="GL156" s="403"/>
      <c r="GM156" s="403"/>
      <c r="GN156" s="403"/>
      <c r="GO156" s="403"/>
      <c r="GP156" s="403"/>
      <c r="GQ156" s="403"/>
      <c r="GR156" s="403"/>
      <c r="GS156" s="403"/>
      <c r="GT156" s="403"/>
      <c r="GU156" s="403"/>
      <c r="GV156" s="403"/>
      <c r="GW156" s="403"/>
      <c r="GX156" s="403"/>
      <c r="GY156" s="403"/>
      <c r="GZ156" s="403"/>
      <c r="HA156" s="403"/>
      <c r="HB156" s="403"/>
      <c r="HC156" s="403"/>
      <c r="HD156" s="403"/>
      <c r="HE156" s="403"/>
      <c r="HF156" s="403"/>
      <c r="HG156" s="403"/>
      <c r="HH156" s="403"/>
      <c r="HI156" s="403"/>
      <c r="HJ156" s="403"/>
      <c r="HK156" s="403"/>
      <c r="HL156" s="403"/>
      <c r="HM156" s="403"/>
      <c r="HN156" s="403"/>
      <c r="HO156" s="403"/>
      <c r="HP156" s="403"/>
      <c r="HQ156" s="403"/>
      <c r="HR156" s="403"/>
      <c r="HS156" s="403"/>
      <c r="HT156" s="403"/>
      <c r="HU156" s="403"/>
      <c r="HV156" s="403"/>
      <c r="HW156" s="403"/>
      <c r="HX156" s="403"/>
      <c r="HY156" s="403"/>
      <c r="HZ156" s="403"/>
      <c r="IA156" s="403"/>
      <c r="IB156" s="403"/>
      <c r="IC156" s="403"/>
      <c r="ID156" s="403"/>
      <c r="IE156" s="403"/>
      <c r="IF156" s="403"/>
      <c r="IG156" s="403"/>
      <c r="IH156" s="403"/>
      <c r="II156" s="403"/>
      <c r="IJ156" s="403"/>
      <c r="IK156" s="403"/>
      <c r="IL156" s="403"/>
      <c r="IM156" s="403"/>
      <c r="IN156" s="403"/>
      <c r="IO156" s="403"/>
      <c r="IP156" s="403"/>
      <c r="IQ156" s="403"/>
      <c r="IR156" s="403"/>
      <c r="IS156" s="403"/>
      <c r="IT156" s="403"/>
      <c r="IU156" s="403"/>
      <c r="IV156" s="403"/>
    </row>
    <row r="157" spans="1:256" x14ac:dyDescent="0.3">
      <c r="A157" s="404"/>
      <c r="B157" s="471"/>
      <c r="C157" s="471"/>
      <c r="D157" s="471"/>
      <c r="E157" s="471"/>
      <c r="F157" s="471"/>
      <c r="G157" s="471"/>
      <c r="H157" s="471"/>
      <c r="I157" s="471"/>
      <c r="J157" s="471"/>
      <c r="K157" s="471"/>
      <c r="L157" s="471"/>
      <c r="M157" s="471"/>
      <c r="N157" s="488"/>
      <c r="O157" s="471"/>
      <c r="P157" s="402"/>
    </row>
    <row r="158" spans="1:256" s="494" customFormat="1" x14ac:dyDescent="0.3">
      <c r="A158" s="427"/>
      <c r="B158" s="428" t="s">
        <v>206</v>
      </c>
      <c r="C158" s="428"/>
      <c r="D158" s="428"/>
      <c r="E158" s="428"/>
      <c r="F158" s="428"/>
      <c r="G158" s="428"/>
      <c r="H158" s="428"/>
      <c r="I158" s="428"/>
      <c r="J158" s="428"/>
      <c r="K158" s="428"/>
      <c r="L158" s="428"/>
      <c r="M158" s="428"/>
      <c r="N158" s="470">
        <f>+'May 18'!N161</f>
        <v>49</v>
      </c>
      <c r="O158" s="430"/>
      <c r="P158" s="418"/>
      <c r="Q158" s="419"/>
      <c r="R158" s="419"/>
      <c r="S158" s="419"/>
      <c r="T158" s="419"/>
      <c r="U158" s="419"/>
      <c r="V158" s="419"/>
      <c r="W158" s="419"/>
      <c r="X158" s="419"/>
      <c r="Y158" s="419"/>
      <c r="Z158" s="419"/>
      <c r="AA158" s="419"/>
      <c r="AB158" s="419"/>
      <c r="AC158" s="419"/>
      <c r="AD158" s="419"/>
      <c r="AE158" s="419"/>
      <c r="AF158" s="419"/>
      <c r="AG158" s="419"/>
      <c r="AH158" s="419"/>
      <c r="AI158" s="419"/>
      <c r="AJ158" s="419"/>
      <c r="AK158" s="419"/>
      <c r="AL158" s="419"/>
      <c r="AM158" s="419"/>
      <c r="AN158" s="419"/>
      <c r="AO158" s="419"/>
      <c r="AP158" s="419"/>
      <c r="AQ158" s="419"/>
      <c r="AR158" s="419"/>
      <c r="AS158" s="419"/>
      <c r="AT158" s="419"/>
      <c r="AU158" s="419"/>
      <c r="AV158" s="419"/>
      <c r="AW158" s="419"/>
      <c r="AX158" s="419"/>
      <c r="AY158" s="419"/>
      <c r="AZ158" s="419"/>
      <c r="BA158" s="419"/>
      <c r="BB158" s="419"/>
      <c r="BC158" s="419"/>
      <c r="BD158" s="419"/>
      <c r="BE158" s="419"/>
      <c r="BF158" s="419"/>
      <c r="BG158" s="419"/>
      <c r="BH158" s="419"/>
      <c r="BI158" s="419"/>
      <c r="BJ158" s="419"/>
      <c r="BK158" s="419"/>
      <c r="BL158" s="419"/>
      <c r="BM158" s="419"/>
      <c r="BN158" s="419"/>
      <c r="BO158" s="419"/>
      <c r="BP158" s="419"/>
      <c r="BQ158" s="419"/>
      <c r="BR158" s="419"/>
      <c r="BS158" s="419"/>
      <c r="BT158" s="419"/>
      <c r="BU158" s="419"/>
      <c r="BV158" s="419"/>
      <c r="BW158" s="419"/>
      <c r="BX158" s="419"/>
      <c r="BY158" s="419"/>
      <c r="BZ158" s="419"/>
      <c r="CA158" s="419"/>
      <c r="CB158" s="419"/>
      <c r="CC158" s="419"/>
      <c r="CD158" s="419"/>
      <c r="CE158" s="419"/>
      <c r="CF158" s="419"/>
      <c r="CG158" s="419"/>
      <c r="CH158" s="419"/>
      <c r="CI158" s="419"/>
      <c r="CJ158" s="419"/>
      <c r="CK158" s="419"/>
      <c r="CL158" s="419"/>
      <c r="CM158" s="419"/>
      <c r="CN158" s="419"/>
      <c r="CO158" s="419"/>
      <c r="CP158" s="419"/>
      <c r="CQ158" s="419"/>
      <c r="CR158" s="419"/>
      <c r="CS158" s="419"/>
      <c r="CT158" s="419"/>
      <c r="CU158" s="419"/>
      <c r="CV158" s="419"/>
      <c r="CW158" s="419"/>
      <c r="CX158" s="419"/>
      <c r="CY158" s="419"/>
      <c r="CZ158" s="419"/>
      <c r="DA158" s="419"/>
      <c r="DB158" s="419"/>
      <c r="DC158" s="419"/>
      <c r="DD158" s="419"/>
      <c r="DE158" s="419"/>
      <c r="DF158" s="419"/>
      <c r="DG158" s="419"/>
      <c r="DH158" s="419"/>
      <c r="DI158" s="419"/>
      <c r="DJ158" s="419"/>
      <c r="DK158" s="419"/>
      <c r="DL158" s="419"/>
      <c r="DM158" s="419"/>
      <c r="DN158" s="419"/>
      <c r="DO158" s="419"/>
      <c r="DP158" s="419"/>
      <c r="DQ158" s="419"/>
      <c r="DR158" s="419"/>
      <c r="DS158" s="419"/>
      <c r="DT158" s="419"/>
      <c r="DU158" s="419"/>
      <c r="DV158" s="419"/>
      <c r="DW158" s="419"/>
      <c r="DX158" s="419"/>
      <c r="DY158" s="419"/>
      <c r="DZ158" s="419"/>
      <c r="EA158" s="419"/>
      <c r="EB158" s="419"/>
      <c r="EC158" s="419"/>
      <c r="ED158" s="419"/>
      <c r="EE158" s="419"/>
      <c r="EF158" s="419"/>
      <c r="EG158" s="419"/>
      <c r="EH158" s="419"/>
      <c r="EI158" s="419"/>
      <c r="EJ158" s="419"/>
      <c r="EK158" s="419"/>
      <c r="EL158" s="419"/>
      <c r="EM158" s="419"/>
      <c r="EN158" s="419"/>
      <c r="EO158" s="419"/>
      <c r="EP158" s="419"/>
      <c r="EQ158" s="419"/>
      <c r="ER158" s="419"/>
      <c r="ES158" s="419"/>
      <c r="ET158" s="419"/>
      <c r="EU158" s="419"/>
      <c r="EV158" s="419"/>
      <c r="EW158" s="419"/>
      <c r="EX158" s="419"/>
      <c r="EY158" s="419"/>
      <c r="EZ158" s="419"/>
      <c r="FA158" s="419"/>
      <c r="FB158" s="419"/>
      <c r="FC158" s="419"/>
      <c r="FD158" s="419"/>
      <c r="FE158" s="419"/>
      <c r="FF158" s="419"/>
      <c r="FG158" s="419"/>
      <c r="FH158" s="419"/>
      <c r="FI158" s="419"/>
      <c r="FJ158" s="419"/>
      <c r="FK158" s="419"/>
      <c r="FL158" s="419"/>
      <c r="FM158" s="419"/>
      <c r="FN158" s="419"/>
      <c r="FO158" s="419"/>
      <c r="FP158" s="419"/>
      <c r="FQ158" s="419"/>
      <c r="FR158" s="419"/>
      <c r="FS158" s="419"/>
      <c r="FT158" s="419"/>
      <c r="FU158" s="419"/>
      <c r="FV158" s="419"/>
      <c r="FW158" s="419"/>
      <c r="FX158" s="419"/>
      <c r="FY158" s="419"/>
      <c r="FZ158" s="419"/>
      <c r="GA158" s="419"/>
      <c r="GB158" s="419"/>
      <c r="GC158" s="419"/>
      <c r="GD158" s="419"/>
      <c r="GE158" s="419"/>
      <c r="GF158" s="419"/>
      <c r="GG158" s="419"/>
      <c r="GH158" s="419"/>
      <c r="GI158" s="419"/>
      <c r="GJ158" s="419"/>
      <c r="GK158" s="419"/>
      <c r="GL158" s="419"/>
      <c r="GM158" s="419"/>
      <c r="GN158" s="419"/>
      <c r="GO158" s="419"/>
      <c r="GP158" s="419"/>
      <c r="GQ158" s="419"/>
      <c r="GR158" s="419"/>
      <c r="GS158" s="419"/>
      <c r="GT158" s="419"/>
      <c r="GU158" s="419"/>
      <c r="GV158" s="419"/>
      <c r="GW158" s="419"/>
      <c r="GX158" s="419"/>
      <c r="GY158" s="419"/>
      <c r="GZ158" s="419"/>
      <c r="HA158" s="419"/>
      <c r="HB158" s="419"/>
      <c r="HC158" s="419"/>
      <c r="HD158" s="419"/>
      <c r="HE158" s="419"/>
      <c r="HF158" s="419"/>
      <c r="HG158" s="419"/>
      <c r="HH158" s="419"/>
      <c r="HI158" s="419"/>
      <c r="HJ158" s="419"/>
      <c r="HK158" s="419"/>
      <c r="HL158" s="419"/>
      <c r="HM158" s="419"/>
      <c r="HN158" s="419"/>
      <c r="HO158" s="419"/>
      <c r="HP158" s="419"/>
      <c r="HQ158" s="419"/>
      <c r="HR158" s="419"/>
      <c r="HS158" s="419"/>
      <c r="HT158" s="419"/>
      <c r="HU158" s="419"/>
      <c r="HV158" s="419"/>
      <c r="HW158" s="419"/>
      <c r="HX158" s="419"/>
      <c r="HY158" s="419"/>
      <c r="HZ158" s="419"/>
      <c r="IA158" s="419"/>
      <c r="IB158" s="419"/>
      <c r="IC158" s="419"/>
      <c r="ID158" s="419"/>
      <c r="IE158" s="419"/>
      <c r="IF158" s="419"/>
      <c r="IG158" s="419"/>
      <c r="IH158" s="419"/>
      <c r="II158" s="419"/>
      <c r="IJ158" s="419"/>
      <c r="IK158" s="419"/>
      <c r="IL158" s="419"/>
      <c r="IM158" s="419"/>
      <c r="IN158" s="419"/>
      <c r="IO158" s="419"/>
      <c r="IP158" s="419"/>
      <c r="IQ158" s="419"/>
      <c r="IR158" s="419"/>
      <c r="IS158" s="419"/>
      <c r="IT158" s="419"/>
      <c r="IU158" s="419"/>
      <c r="IV158" s="419"/>
    </row>
    <row r="159" spans="1:256" s="495" customFormat="1" x14ac:dyDescent="0.3">
      <c r="A159" s="427"/>
      <c r="B159" s="428" t="s">
        <v>207</v>
      </c>
      <c r="C159" s="428"/>
      <c r="D159" s="428"/>
      <c r="E159" s="428"/>
      <c r="F159" s="428"/>
      <c r="G159" s="428"/>
      <c r="H159" s="428"/>
      <c r="I159" s="428"/>
      <c r="J159" s="428"/>
      <c r="K159" s="428"/>
      <c r="L159" s="428"/>
      <c r="M159" s="428"/>
      <c r="N159" s="470">
        <v>2</v>
      </c>
      <c r="O159" s="430"/>
      <c r="P159" s="418"/>
      <c r="Q159" s="419"/>
      <c r="R159" s="419"/>
      <c r="S159" s="419"/>
      <c r="T159" s="419"/>
      <c r="U159" s="419"/>
      <c r="V159" s="419"/>
      <c r="W159" s="419"/>
      <c r="X159" s="419"/>
      <c r="Y159" s="419"/>
      <c r="Z159" s="419"/>
      <c r="AA159" s="419"/>
      <c r="AB159" s="419"/>
      <c r="AC159" s="419"/>
      <c r="AD159" s="419"/>
      <c r="AE159" s="419"/>
      <c r="AF159" s="419"/>
      <c r="AG159" s="419"/>
      <c r="AH159" s="419"/>
      <c r="AI159" s="419"/>
      <c r="AJ159" s="419"/>
      <c r="AK159" s="419"/>
      <c r="AL159" s="419"/>
      <c r="AM159" s="419"/>
      <c r="AN159" s="419"/>
      <c r="AO159" s="419"/>
      <c r="AP159" s="419"/>
      <c r="AQ159" s="419"/>
      <c r="AR159" s="419"/>
      <c r="AS159" s="419"/>
      <c r="AT159" s="419"/>
      <c r="AU159" s="419"/>
      <c r="AV159" s="419"/>
      <c r="AW159" s="419"/>
      <c r="AX159" s="419"/>
      <c r="AY159" s="419"/>
      <c r="AZ159" s="419"/>
      <c r="BA159" s="419"/>
      <c r="BB159" s="419"/>
      <c r="BC159" s="419"/>
      <c r="BD159" s="419"/>
      <c r="BE159" s="419"/>
      <c r="BF159" s="419"/>
      <c r="BG159" s="419"/>
      <c r="BH159" s="419"/>
      <c r="BI159" s="419"/>
      <c r="BJ159" s="419"/>
      <c r="BK159" s="419"/>
      <c r="BL159" s="419"/>
      <c r="BM159" s="419"/>
      <c r="BN159" s="419"/>
      <c r="BO159" s="419"/>
      <c r="BP159" s="419"/>
      <c r="BQ159" s="419"/>
      <c r="BR159" s="419"/>
      <c r="BS159" s="419"/>
      <c r="BT159" s="419"/>
      <c r="BU159" s="419"/>
      <c r="BV159" s="419"/>
      <c r="BW159" s="419"/>
      <c r="BX159" s="419"/>
      <c r="BY159" s="419"/>
      <c r="BZ159" s="419"/>
      <c r="CA159" s="419"/>
      <c r="CB159" s="419"/>
      <c r="CC159" s="419"/>
      <c r="CD159" s="419"/>
      <c r="CE159" s="419"/>
      <c r="CF159" s="419"/>
      <c r="CG159" s="419"/>
      <c r="CH159" s="419"/>
      <c r="CI159" s="419"/>
      <c r="CJ159" s="419"/>
      <c r="CK159" s="419"/>
      <c r="CL159" s="419"/>
      <c r="CM159" s="419"/>
      <c r="CN159" s="419"/>
      <c r="CO159" s="419"/>
      <c r="CP159" s="419"/>
      <c r="CQ159" s="419"/>
      <c r="CR159" s="419"/>
      <c r="CS159" s="419"/>
      <c r="CT159" s="419"/>
      <c r="CU159" s="419"/>
      <c r="CV159" s="419"/>
      <c r="CW159" s="419"/>
      <c r="CX159" s="419"/>
      <c r="CY159" s="419"/>
      <c r="CZ159" s="419"/>
      <c r="DA159" s="419"/>
      <c r="DB159" s="419"/>
      <c r="DC159" s="419"/>
      <c r="DD159" s="419"/>
      <c r="DE159" s="419"/>
      <c r="DF159" s="419"/>
      <c r="DG159" s="419"/>
      <c r="DH159" s="419"/>
      <c r="DI159" s="419"/>
      <c r="DJ159" s="419"/>
      <c r="DK159" s="419"/>
      <c r="DL159" s="419"/>
      <c r="DM159" s="419"/>
      <c r="DN159" s="419"/>
      <c r="DO159" s="419"/>
      <c r="DP159" s="419"/>
      <c r="DQ159" s="419"/>
      <c r="DR159" s="419"/>
      <c r="DS159" s="419"/>
      <c r="DT159" s="419"/>
      <c r="DU159" s="419"/>
      <c r="DV159" s="419"/>
      <c r="DW159" s="419"/>
      <c r="DX159" s="419"/>
      <c r="DY159" s="419"/>
      <c r="DZ159" s="419"/>
      <c r="EA159" s="419"/>
      <c r="EB159" s="419"/>
      <c r="EC159" s="419"/>
      <c r="ED159" s="419"/>
      <c r="EE159" s="419"/>
      <c r="EF159" s="419"/>
      <c r="EG159" s="419"/>
      <c r="EH159" s="419"/>
      <c r="EI159" s="419"/>
      <c r="EJ159" s="419"/>
      <c r="EK159" s="419"/>
      <c r="EL159" s="419"/>
      <c r="EM159" s="419"/>
      <c r="EN159" s="419"/>
      <c r="EO159" s="419"/>
      <c r="EP159" s="419"/>
      <c r="EQ159" s="419"/>
      <c r="ER159" s="419"/>
      <c r="ES159" s="419"/>
      <c r="ET159" s="419"/>
      <c r="EU159" s="419"/>
      <c r="EV159" s="419"/>
      <c r="EW159" s="419"/>
      <c r="EX159" s="419"/>
      <c r="EY159" s="419"/>
      <c r="EZ159" s="419"/>
      <c r="FA159" s="419"/>
      <c r="FB159" s="419"/>
      <c r="FC159" s="419"/>
      <c r="FD159" s="419"/>
      <c r="FE159" s="419"/>
      <c r="FF159" s="419"/>
      <c r="FG159" s="419"/>
      <c r="FH159" s="419"/>
      <c r="FI159" s="419"/>
      <c r="FJ159" s="419"/>
      <c r="FK159" s="419"/>
      <c r="FL159" s="419"/>
      <c r="FM159" s="419"/>
      <c r="FN159" s="419"/>
      <c r="FO159" s="419"/>
      <c r="FP159" s="419"/>
      <c r="FQ159" s="419"/>
      <c r="FR159" s="419"/>
      <c r="FS159" s="419"/>
      <c r="FT159" s="419"/>
      <c r="FU159" s="419"/>
      <c r="FV159" s="419"/>
      <c r="FW159" s="419"/>
      <c r="FX159" s="419"/>
      <c r="FY159" s="419"/>
      <c r="FZ159" s="419"/>
      <c r="GA159" s="419"/>
      <c r="GB159" s="419"/>
      <c r="GC159" s="419"/>
      <c r="GD159" s="419"/>
      <c r="GE159" s="419"/>
      <c r="GF159" s="419"/>
      <c r="GG159" s="419"/>
      <c r="GH159" s="419"/>
      <c r="GI159" s="419"/>
      <c r="GJ159" s="419"/>
      <c r="GK159" s="419"/>
      <c r="GL159" s="419"/>
      <c r="GM159" s="419"/>
      <c r="GN159" s="419"/>
      <c r="GO159" s="419"/>
      <c r="GP159" s="419"/>
      <c r="GQ159" s="419"/>
      <c r="GR159" s="419"/>
      <c r="GS159" s="419"/>
      <c r="GT159" s="419"/>
      <c r="GU159" s="419"/>
      <c r="GV159" s="419"/>
      <c r="GW159" s="419"/>
      <c r="GX159" s="419"/>
      <c r="GY159" s="419"/>
      <c r="GZ159" s="419"/>
      <c r="HA159" s="419"/>
      <c r="HB159" s="419"/>
      <c r="HC159" s="419"/>
      <c r="HD159" s="419"/>
      <c r="HE159" s="419"/>
      <c r="HF159" s="419"/>
      <c r="HG159" s="419"/>
      <c r="HH159" s="419"/>
      <c r="HI159" s="419"/>
      <c r="HJ159" s="419"/>
      <c r="HK159" s="419"/>
      <c r="HL159" s="419"/>
      <c r="HM159" s="419"/>
      <c r="HN159" s="419"/>
      <c r="HO159" s="419"/>
      <c r="HP159" s="419"/>
      <c r="HQ159" s="419"/>
      <c r="HR159" s="419"/>
      <c r="HS159" s="419"/>
      <c r="HT159" s="419"/>
      <c r="HU159" s="419"/>
      <c r="HV159" s="419"/>
      <c r="HW159" s="419"/>
      <c r="HX159" s="419"/>
      <c r="HY159" s="419"/>
      <c r="HZ159" s="419"/>
      <c r="IA159" s="419"/>
      <c r="IB159" s="419"/>
      <c r="IC159" s="419"/>
      <c r="ID159" s="419"/>
      <c r="IE159" s="419"/>
      <c r="IF159" s="419"/>
      <c r="IG159" s="419"/>
      <c r="IH159" s="419"/>
      <c r="II159" s="419"/>
      <c r="IJ159" s="419"/>
      <c r="IK159" s="419"/>
      <c r="IL159" s="419"/>
      <c r="IM159" s="419"/>
      <c r="IN159" s="419"/>
      <c r="IO159" s="419"/>
      <c r="IP159" s="419"/>
      <c r="IQ159" s="419"/>
      <c r="IR159" s="419"/>
      <c r="IS159" s="419"/>
      <c r="IT159" s="419"/>
      <c r="IU159" s="419"/>
      <c r="IV159" s="419"/>
    </row>
    <row r="160" spans="1:256" s="496" customFormat="1" x14ac:dyDescent="0.3">
      <c r="A160" s="427"/>
      <c r="B160" s="428" t="s">
        <v>208</v>
      </c>
      <c r="C160" s="428"/>
      <c r="D160" s="428"/>
      <c r="E160" s="428"/>
      <c r="F160" s="428"/>
      <c r="G160" s="428"/>
      <c r="H160" s="428"/>
      <c r="I160" s="428"/>
      <c r="J160" s="428"/>
      <c r="K160" s="428"/>
      <c r="L160" s="428"/>
      <c r="M160" s="428"/>
      <c r="N160" s="470">
        <v>0</v>
      </c>
      <c r="O160" s="430"/>
      <c r="P160" s="418"/>
      <c r="Q160" s="419"/>
      <c r="R160" s="419"/>
      <c r="S160" s="419"/>
      <c r="T160" s="419"/>
      <c r="U160" s="419"/>
      <c r="V160" s="419"/>
      <c r="W160" s="419"/>
      <c r="X160" s="419"/>
      <c r="Y160" s="419"/>
      <c r="Z160" s="419"/>
      <c r="AA160" s="419"/>
      <c r="AB160" s="419"/>
      <c r="AC160" s="419"/>
      <c r="AD160" s="419"/>
      <c r="AE160" s="419"/>
      <c r="AF160" s="419"/>
      <c r="AG160" s="419"/>
      <c r="AH160" s="419"/>
      <c r="AI160" s="419"/>
      <c r="AJ160" s="419"/>
      <c r="AK160" s="419"/>
      <c r="AL160" s="419"/>
      <c r="AM160" s="419"/>
      <c r="AN160" s="419"/>
      <c r="AO160" s="419"/>
      <c r="AP160" s="419"/>
      <c r="AQ160" s="419"/>
      <c r="AR160" s="419"/>
      <c r="AS160" s="419"/>
      <c r="AT160" s="419"/>
      <c r="AU160" s="419"/>
      <c r="AV160" s="419"/>
      <c r="AW160" s="419"/>
      <c r="AX160" s="419"/>
      <c r="AY160" s="419"/>
      <c r="AZ160" s="419"/>
      <c r="BA160" s="419"/>
      <c r="BB160" s="419"/>
      <c r="BC160" s="419"/>
      <c r="BD160" s="419"/>
      <c r="BE160" s="419"/>
      <c r="BF160" s="419"/>
      <c r="BG160" s="419"/>
      <c r="BH160" s="419"/>
      <c r="BI160" s="419"/>
      <c r="BJ160" s="419"/>
      <c r="BK160" s="419"/>
      <c r="BL160" s="419"/>
      <c r="BM160" s="419"/>
      <c r="BN160" s="419"/>
      <c r="BO160" s="419"/>
      <c r="BP160" s="419"/>
      <c r="BQ160" s="419"/>
      <c r="BR160" s="419"/>
      <c r="BS160" s="419"/>
      <c r="BT160" s="419"/>
      <c r="BU160" s="419"/>
      <c r="BV160" s="419"/>
      <c r="BW160" s="419"/>
      <c r="BX160" s="419"/>
      <c r="BY160" s="419"/>
      <c r="BZ160" s="419"/>
      <c r="CA160" s="419"/>
      <c r="CB160" s="419"/>
      <c r="CC160" s="419"/>
      <c r="CD160" s="419"/>
      <c r="CE160" s="419"/>
      <c r="CF160" s="419"/>
      <c r="CG160" s="419"/>
      <c r="CH160" s="419"/>
      <c r="CI160" s="419"/>
      <c r="CJ160" s="419"/>
      <c r="CK160" s="419"/>
      <c r="CL160" s="419"/>
      <c r="CM160" s="419"/>
      <c r="CN160" s="419"/>
      <c r="CO160" s="419"/>
      <c r="CP160" s="419"/>
      <c r="CQ160" s="419"/>
      <c r="CR160" s="419"/>
      <c r="CS160" s="419"/>
      <c r="CT160" s="419"/>
      <c r="CU160" s="419"/>
      <c r="CV160" s="419"/>
      <c r="CW160" s="419"/>
      <c r="CX160" s="419"/>
      <c r="CY160" s="419"/>
      <c r="CZ160" s="419"/>
      <c r="DA160" s="419"/>
      <c r="DB160" s="419"/>
      <c r="DC160" s="419"/>
      <c r="DD160" s="419"/>
      <c r="DE160" s="419"/>
      <c r="DF160" s="419"/>
      <c r="DG160" s="419"/>
      <c r="DH160" s="419"/>
      <c r="DI160" s="419"/>
      <c r="DJ160" s="419"/>
      <c r="DK160" s="419"/>
      <c r="DL160" s="419"/>
      <c r="DM160" s="419"/>
      <c r="DN160" s="419"/>
      <c r="DO160" s="419"/>
      <c r="DP160" s="419"/>
      <c r="DQ160" s="419"/>
      <c r="DR160" s="419"/>
      <c r="DS160" s="419"/>
      <c r="DT160" s="419"/>
      <c r="DU160" s="419"/>
      <c r="DV160" s="419"/>
      <c r="DW160" s="419"/>
      <c r="DX160" s="419"/>
      <c r="DY160" s="419"/>
      <c r="DZ160" s="419"/>
      <c r="EA160" s="419"/>
      <c r="EB160" s="419"/>
      <c r="EC160" s="419"/>
      <c r="ED160" s="419"/>
      <c r="EE160" s="419"/>
      <c r="EF160" s="419"/>
      <c r="EG160" s="419"/>
      <c r="EH160" s="419"/>
      <c r="EI160" s="419"/>
      <c r="EJ160" s="419"/>
      <c r="EK160" s="419"/>
      <c r="EL160" s="419"/>
      <c r="EM160" s="419"/>
      <c r="EN160" s="419"/>
      <c r="EO160" s="419"/>
      <c r="EP160" s="419"/>
      <c r="EQ160" s="419"/>
      <c r="ER160" s="419"/>
      <c r="ES160" s="419"/>
      <c r="ET160" s="419"/>
      <c r="EU160" s="419"/>
      <c r="EV160" s="419"/>
      <c r="EW160" s="419"/>
      <c r="EX160" s="419"/>
      <c r="EY160" s="419"/>
      <c r="EZ160" s="419"/>
      <c r="FA160" s="419"/>
      <c r="FB160" s="419"/>
      <c r="FC160" s="419"/>
      <c r="FD160" s="419"/>
      <c r="FE160" s="419"/>
      <c r="FF160" s="419"/>
      <c r="FG160" s="419"/>
      <c r="FH160" s="419"/>
      <c r="FI160" s="419"/>
      <c r="FJ160" s="419"/>
      <c r="FK160" s="419"/>
      <c r="FL160" s="419"/>
      <c r="FM160" s="419"/>
      <c r="FN160" s="419"/>
      <c r="FO160" s="419"/>
      <c r="FP160" s="419"/>
      <c r="FQ160" s="419"/>
      <c r="FR160" s="419"/>
      <c r="FS160" s="419"/>
      <c r="FT160" s="419"/>
      <c r="FU160" s="419"/>
      <c r="FV160" s="419"/>
      <c r="FW160" s="419"/>
      <c r="FX160" s="419"/>
      <c r="FY160" s="419"/>
      <c r="FZ160" s="419"/>
      <c r="GA160" s="419"/>
      <c r="GB160" s="419"/>
      <c r="GC160" s="419"/>
      <c r="GD160" s="419"/>
      <c r="GE160" s="419"/>
      <c r="GF160" s="419"/>
      <c r="GG160" s="419"/>
      <c r="GH160" s="419"/>
      <c r="GI160" s="419"/>
      <c r="GJ160" s="419"/>
      <c r="GK160" s="419"/>
      <c r="GL160" s="419"/>
      <c r="GM160" s="419"/>
      <c r="GN160" s="419"/>
      <c r="GO160" s="419"/>
      <c r="GP160" s="419"/>
      <c r="GQ160" s="419"/>
      <c r="GR160" s="419"/>
      <c r="GS160" s="419"/>
      <c r="GT160" s="419"/>
      <c r="GU160" s="419"/>
      <c r="GV160" s="419"/>
      <c r="GW160" s="419"/>
      <c r="GX160" s="419"/>
      <c r="GY160" s="419"/>
      <c r="GZ160" s="419"/>
      <c r="HA160" s="419"/>
      <c r="HB160" s="419"/>
      <c r="HC160" s="419"/>
      <c r="HD160" s="419"/>
      <c r="HE160" s="419"/>
      <c r="HF160" s="419"/>
      <c r="HG160" s="419"/>
      <c r="HH160" s="419"/>
      <c r="HI160" s="419"/>
      <c r="HJ160" s="419"/>
      <c r="HK160" s="419"/>
      <c r="HL160" s="419"/>
      <c r="HM160" s="419"/>
      <c r="HN160" s="419"/>
      <c r="HO160" s="419"/>
      <c r="HP160" s="419"/>
      <c r="HQ160" s="419"/>
      <c r="HR160" s="419"/>
      <c r="HS160" s="419"/>
      <c r="HT160" s="419"/>
      <c r="HU160" s="419"/>
      <c r="HV160" s="419"/>
      <c r="HW160" s="419"/>
      <c r="HX160" s="419"/>
      <c r="HY160" s="419"/>
      <c r="HZ160" s="419"/>
      <c r="IA160" s="419"/>
      <c r="IB160" s="419"/>
      <c r="IC160" s="419"/>
      <c r="ID160" s="419"/>
      <c r="IE160" s="419"/>
      <c r="IF160" s="419"/>
      <c r="IG160" s="419"/>
      <c r="IH160" s="419"/>
      <c r="II160" s="419"/>
      <c r="IJ160" s="419"/>
      <c r="IK160" s="419"/>
      <c r="IL160" s="419"/>
      <c r="IM160" s="419"/>
      <c r="IN160" s="419"/>
      <c r="IO160" s="419"/>
      <c r="IP160" s="419"/>
      <c r="IQ160" s="419"/>
      <c r="IR160" s="419"/>
      <c r="IS160" s="419"/>
      <c r="IT160" s="419"/>
      <c r="IU160" s="419"/>
      <c r="IV160" s="419"/>
    </row>
    <row r="161" spans="1:256" s="497" customFormat="1" x14ac:dyDescent="0.3">
      <c r="A161" s="427"/>
      <c r="B161" s="428" t="s">
        <v>217</v>
      </c>
      <c r="C161" s="428"/>
      <c r="D161" s="428"/>
      <c r="E161" s="428"/>
      <c r="F161" s="428"/>
      <c r="G161" s="428"/>
      <c r="H161" s="428"/>
      <c r="I161" s="428"/>
      <c r="J161" s="428"/>
      <c r="K161" s="428"/>
      <c r="L161" s="428"/>
      <c r="M161" s="428"/>
      <c r="N161" s="470">
        <f>N158-N159-N160</f>
        <v>47</v>
      </c>
      <c r="O161" s="430"/>
      <c r="P161" s="418"/>
      <c r="Q161" s="419"/>
      <c r="R161" s="419"/>
      <c r="S161" s="419"/>
      <c r="T161" s="419"/>
      <c r="U161" s="419"/>
      <c r="V161" s="419"/>
      <c r="W161" s="419"/>
      <c r="X161" s="419"/>
      <c r="Y161" s="419"/>
      <c r="Z161" s="419"/>
      <c r="AA161" s="419"/>
      <c r="AB161" s="419"/>
      <c r="AC161" s="419"/>
      <c r="AD161" s="419"/>
      <c r="AE161" s="419"/>
      <c r="AF161" s="419"/>
      <c r="AG161" s="419"/>
      <c r="AH161" s="419"/>
      <c r="AI161" s="419"/>
      <c r="AJ161" s="419"/>
      <c r="AK161" s="419"/>
      <c r="AL161" s="419"/>
      <c r="AM161" s="419"/>
      <c r="AN161" s="419"/>
      <c r="AO161" s="419"/>
      <c r="AP161" s="419"/>
      <c r="AQ161" s="419"/>
      <c r="AR161" s="419"/>
      <c r="AS161" s="419"/>
      <c r="AT161" s="419"/>
      <c r="AU161" s="419"/>
      <c r="AV161" s="419"/>
      <c r="AW161" s="419"/>
      <c r="AX161" s="419"/>
      <c r="AY161" s="419"/>
      <c r="AZ161" s="419"/>
      <c r="BA161" s="419"/>
      <c r="BB161" s="419"/>
      <c r="BC161" s="419"/>
      <c r="BD161" s="419"/>
      <c r="BE161" s="419"/>
      <c r="BF161" s="419"/>
      <c r="BG161" s="419"/>
      <c r="BH161" s="419"/>
      <c r="BI161" s="419"/>
      <c r="BJ161" s="419"/>
      <c r="BK161" s="419"/>
      <c r="BL161" s="419"/>
      <c r="BM161" s="419"/>
      <c r="BN161" s="419"/>
      <c r="BO161" s="419"/>
      <c r="BP161" s="419"/>
      <c r="BQ161" s="419"/>
      <c r="BR161" s="419"/>
      <c r="BS161" s="419"/>
      <c r="BT161" s="419"/>
      <c r="BU161" s="419"/>
      <c r="BV161" s="419"/>
      <c r="BW161" s="419"/>
      <c r="BX161" s="419"/>
      <c r="BY161" s="419"/>
      <c r="BZ161" s="419"/>
      <c r="CA161" s="419"/>
      <c r="CB161" s="419"/>
      <c r="CC161" s="419"/>
      <c r="CD161" s="419"/>
      <c r="CE161" s="419"/>
      <c r="CF161" s="419"/>
      <c r="CG161" s="419"/>
      <c r="CH161" s="419"/>
      <c r="CI161" s="419"/>
      <c r="CJ161" s="419"/>
      <c r="CK161" s="419"/>
      <c r="CL161" s="419"/>
      <c r="CM161" s="419"/>
      <c r="CN161" s="419"/>
      <c r="CO161" s="419"/>
      <c r="CP161" s="419"/>
      <c r="CQ161" s="419"/>
      <c r="CR161" s="419"/>
      <c r="CS161" s="419"/>
      <c r="CT161" s="419"/>
      <c r="CU161" s="419"/>
      <c r="CV161" s="419"/>
      <c r="CW161" s="419"/>
      <c r="CX161" s="419"/>
      <c r="CY161" s="419"/>
      <c r="CZ161" s="419"/>
      <c r="DA161" s="419"/>
      <c r="DB161" s="419"/>
      <c r="DC161" s="419"/>
      <c r="DD161" s="419"/>
      <c r="DE161" s="419"/>
      <c r="DF161" s="419"/>
      <c r="DG161" s="419"/>
      <c r="DH161" s="419"/>
      <c r="DI161" s="419"/>
      <c r="DJ161" s="419"/>
      <c r="DK161" s="419"/>
      <c r="DL161" s="419"/>
      <c r="DM161" s="419"/>
      <c r="DN161" s="419"/>
      <c r="DO161" s="419"/>
      <c r="DP161" s="419"/>
      <c r="DQ161" s="419"/>
      <c r="DR161" s="419"/>
      <c r="DS161" s="419"/>
      <c r="DT161" s="419"/>
      <c r="DU161" s="419"/>
      <c r="DV161" s="419"/>
      <c r="DW161" s="419"/>
      <c r="DX161" s="419"/>
      <c r="DY161" s="419"/>
      <c r="DZ161" s="419"/>
      <c r="EA161" s="419"/>
      <c r="EB161" s="419"/>
      <c r="EC161" s="419"/>
      <c r="ED161" s="419"/>
      <c r="EE161" s="419"/>
      <c r="EF161" s="419"/>
      <c r="EG161" s="419"/>
      <c r="EH161" s="419"/>
      <c r="EI161" s="419"/>
      <c r="EJ161" s="419"/>
      <c r="EK161" s="419"/>
      <c r="EL161" s="419"/>
      <c r="EM161" s="419"/>
      <c r="EN161" s="419"/>
      <c r="EO161" s="419"/>
      <c r="EP161" s="419"/>
      <c r="EQ161" s="419"/>
      <c r="ER161" s="419"/>
      <c r="ES161" s="419"/>
      <c r="ET161" s="419"/>
      <c r="EU161" s="419"/>
      <c r="EV161" s="419"/>
      <c r="EW161" s="419"/>
      <c r="EX161" s="419"/>
      <c r="EY161" s="419"/>
      <c r="EZ161" s="419"/>
      <c r="FA161" s="419"/>
      <c r="FB161" s="419"/>
      <c r="FC161" s="419"/>
      <c r="FD161" s="419"/>
      <c r="FE161" s="419"/>
      <c r="FF161" s="419"/>
      <c r="FG161" s="419"/>
      <c r="FH161" s="419"/>
      <c r="FI161" s="419"/>
      <c r="FJ161" s="419"/>
      <c r="FK161" s="419"/>
      <c r="FL161" s="419"/>
      <c r="FM161" s="419"/>
      <c r="FN161" s="419"/>
      <c r="FO161" s="419"/>
      <c r="FP161" s="419"/>
      <c r="FQ161" s="419"/>
      <c r="FR161" s="419"/>
      <c r="FS161" s="419"/>
      <c r="FT161" s="419"/>
      <c r="FU161" s="419"/>
      <c r="FV161" s="419"/>
      <c r="FW161" s="419"/>
      <c r="FX161" s="419"/>
      <c r="FY161" s="419"/>
      <c r="FZ161" s="419"/>
      <c r="GA161" s="419"/>
      <c r="GB161" s="419"/>
      <c r="GC161" s="419"/>
      <c r="GD161" s="419"/>
      <c r="GE161" s="419"/>
      <c r="GF161" s="419"/>
      <c r="GG161" s="419"/>
      <c r="GH161" s="419"/>
      <c r="GI161" s="419"/>
      <c r="GJ161" s="419"/>
      <c r="GK161" s="419"/>
      <c r="GL161" s="419"/>
      <c r="GM161" s="419"/>
      <c r="GN161" s="419"/>
      <c r="GO161" s="419"/>
      <c r="GP161" s="419"/>
      <c r="GQ161" s="419"/>
      <c r="GR161" s="419"/>
      <c r="GS161" s="419"/>
      <c r="GT161" s="419"/>
      <c r="GU161" s="419"/>
      <c r="GV161" s="419"/>
      <c r="GW161" s="419"/>
      <c r="GX161" s="419"/>
      <c r="GY161" s="419"/>
      <c r="GZ161" s="419"/>
      <c r="HA161" s="419"/>
      <c r="HB161" s="419"/>
      <c r="HC161" s="419"/>
      <c r="HD161" s="419"/>
      <c r="HE161" s="419"/>
      <c r="HF161" s="419"/>
      <c r="HG161" s="419"/>
      <c r="HH161" s="419"/>
      <c r="HI161" s="419"/>
      <c r="HJ161" s="419"/>
      <c r="HK161" s="419"/>
      <c r="HL161" s="419"/>
      <c r="HM161" s="419"/>
      <c r="HN161" s="419"/>
      <c r="HO161" s="419"/>
      <c r="HP161" s="419"/>
      <c r="HQ161" s="419"/>
      <c r="HR161" s="419"/>
      <c r="HS161" s="419"/>
      <c r="HT161" s="419"/>
      <c r="HU161" s="419"/>
      <c r="HV161" s="419"/>
      <c r="HW161" s="419"/>
      <c r="HX161" s="419"/>
      <c r="HY161" s="419"/>
      <c r="HZ161" s="419"/>
      <c r="IA161" s="419"/>
      <c r="IB161" s="419"/>
      <c r="IC161" s="419"/>
      <c r="ID161" s="419"/>
      <c r="IE161" s="419"/>
      <c r="IF161" s="419"/>
      <c r="IG161" s="419"/>
      <c r="IH161" s="419"/>
      <c r="II161" s="419"/>
      <c r="IJ161" s="419"/>
      <c r="IK161" s="419"/>
      <c r="IL161" s="419"/>
      <c r="IM161" s="419"/>
      <c r="IN161" s="419"/>
      <c r="IO161" s="419"/>
      <c r="IP161" s="419"/>
      <c r="IQ161" s="419"/>
      <c r="IR161" s="419"/>
      <c r="IS161" s="419"/>
      <c r="IT161" s="419"/>
      <c r="IU161" s="419"/>
      <c r="IV161" s="419"/>
    </row>
    <row r="162" spans="1:256" s="499" customFormat="1" ht="16.2" thickBot="1" x14ac:dyDescent="0.35">
      <c r="A162" s="404"/>
      <c r="B162" s="476"/>
      <c r="C162" s="476"/>
      <c r="D162" s="476"/>
      <c r="E162" s="476"/>
      <c r="F162" s="476"/>
      <c r="G162" s="476"/>
      <c r="H162" s="476"/>
      <c r="I162" s="476"/>
      <c r="J162" s="476"/>
      <c r="K162" s="476"/>
      <c r="L162" s="476"/>
      <c r="M162" s="476"/>
      <c r="N162" s="498"/>
      <c r="O162" s="476"/>
      <c r="P162" s="402"/>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c r="BT162" s="403"/>
      <c r="BU162" s="403"/>
      <c r="BV162" s="403"/>
      <c r="BW162" s="403"/>
      <c r="BX162" s="403"/>
      <c r="BY162" s="403"/>
      <c r="BZ162" s="403"/>
      <c r="CA162" s="403"/>
      <c r="CB162" s="403"/>
      <c r="CC162" s="403"/>
      <c r="CD162" s="403"/>
      <c r="CE162" s="403"/>
      <c r="CF162" s="403"/>
      <c r="CG162" s="403"/>
      <c r="CH162" s="403"/>
      <c r="CI162" s="403"/>
      <c r="CJ162" s="403"/>
      <c r="CK162" s="403"/>
      <c r="CL162" s="403"/>
      <c r="CM162" s="403"/>
      <c r="CN162" s="403"/>
      <c r="CO162" s="403"/>
      <c r="CP162" s="403"/>
      <c r="CQ162" s="403"/>
      <c r="CR162" s="403"/>
      <c r="CS162" s="403"/>
      <c r="CT162" s="403"/>
      <c r="CU162" s="403"/>
      <c r="CV162" s="403"/>
      <c r="CW162" s="403"/>
      <c r="CX162" s="403"/>
      <c r="CY162" s="403"/>
      <c r="CZ162" s="403"/>
      <c r="DA162" s="403"/>
      <c r="DB162" s="403"/>
      <c r="DC162" s="403"/>
      <c r="DD162" s="403"/>
      <c r="DE162" s="403"/>
      <c r="DF162" s="403"/>
      <c r="DG162" s="403"/>
      <c r="DH162" s="403"/>
      <c r="DI162" s="403"/>
      <c r="DJ162" s="403"/>
      <c r="DK162" s="403"/>
      <c r="DL162" s="403"/>
      <c r="DM162" s="403"/>
      <c r="DN162" s="403"/>
      <c r="DO162" s="403"/>
      <c r="DP162" s="403"/>
      <c r="DQ162" s="403"/>
      <c r="DR162" s="403"/>
      <c r="DS162" s="403"/>
      <c r="DT162" s="403"/>
      <c r="DU162" s="403"/>
      <c r="DV162" s="403"/>
      <c r="DW162" s="403"/>
      <c r="DX162" s="403"/>
      <c r="DY162" s="403"/>
      <c r="DZ162" s="403"/>
      <c r="EA162" s="403"/>
      <c r="EB162" s="403"/>
      <c r="EC162" s="403"/>
      <c r="ED162" s="403"/>
      <c r="EE162" s="403"/>
      <c r="EF162" s="403"/>
      <c r="EG162" s="403"/>
      <c r="EH162" s="403"/>
      <c r="EI162" s="403"/>
      <c r="EJ162" s="403"/>
      <c r="EK162" s="403"/>
      <c r="EL162" s="403"/>
      <c r="EM162" s="403"/>
      <c r="EN162" s="403"/>
      <c r="EO162" s="403"/>
      <c r="EP162" s="403"/>
      <c r="EQ162" s="403"/>
      <c r="ER162" s="403"/>
      <c r="ES162" s="403"/>
      <c r="ET162" s="403"/>
      <c r="EU162" s="403"/>
      <c r="EV162" s="403"/>
      <c r="EW162" s="403"/>
      <c r="EX162" s="403"/>
      <c r="EY162" s="403"/>
      <c r="EZ162" s="403"/>
      <c r="FA162" s="403"/>
      <c r="FB162" s="403"/>
      <c r="FC162" s="403"/>
      <c r="FD162" s="403"/>
      <c r="FE162" s="403"/>
      <c r="FF162" s="403"/>
      <c r="FG162" s="403"/>
      <c r="FH162" s="403"/>
      <c r="FI162" s="403"/>
      <c r="FJ162" s="403"/>
      <c r="FK162" s="403"/>
      <c r="FL162" s="403"/>
      <c r="FM162" s="403"/>
      <c r="FN162" s="403"/>
      <c r="FO162" s="403"/>
      <c r="FP162" s="403"/>
      <c r="FQ162" s="403"/>
      <c r="FR162" s="403"/>
      <c r="FS162" s="403"/>
      <c r="FT162" s="403"/>
      <c r="FU162" s="403"/>
      <c r="FV162" s="403"/>
      <c r="FW162" s="403"/>
      <c r="FX162" s="403"/>
      <c r="FY162" s="403"/>
      <c r="FZ162" s="403"/>
      <c r="GA162" s="403"/>
      <c r="GB162" s="403"/>
      <c r="GC162" s="403"/>
      <c r="GD162" s="403"/>
      <c r="GE162" s="403"/>
      <c r="GF162" s="403"/>
      <c r="GG162" s="403"/>
      <c r="GH162" s="403"/>
      <c r="GI162" s="403"/>
      <c r="GJ162" s="403"/>
      <c r="GK162" s="403"/>
      <c r="GL162" s="403"/>
      <c r="GM162" s="403"/>
      <c r="GN162" s="403"/>
      <c r="GO162" s="403"/>
      <c r="GP162" s="403"/>
      <c r="GQ162" s="403"/>
      <c r="GR162" s="403"/>
      <c r="GS162" s="403"/>
      <c r="GT162" s="403"/>
      <c r="GU162" s="403"/>
      <c r="GV162" s="403"/>
      <c r="GW162" s="403"/>
      <c r="GX162" s="403"/>
      <c r="GY162" s="403"/>
      <c r="GZ162" s="403"/>
      <c r="HA162" s="403"/>
      <c r="HB162" s="403"/>
      <c r="HC162" s="403"/>
      <c r="HD162" s="403"/>
      <c r="HE162" s="403"/>
      <c r="HF162" s="403"/>
      <c r="HG162" s="403"/>
      <c r="HH162" s="403"/>
      <c r="HI162" s="403"/>
      <c r="HJ162" s="403"/>
      <c r="HK162" s="403"/>
      <c r="HL162" s="403"/>
      <c r="HM162" s="403"/>
      <c r="HN162" s="403"/>
      <c r="HO162" s="403"/>
      <c r="HP162" s="403"/>
      <c r="HQ162" s="403"/>
      <c r="HR162" s="403"/>
      <c r="HS162" s="403"/>
      <c r="HT162" s="403"/>
      <c r="HU162" s="403"/>
      <c r="HV162" s="403"/>
      <c r="HW162" s="403"/>
      <c r="HX162" s="403"/>
      <c r="HY162" s="403"/>
      <c r="HZ162" s="403"/>
      <c r="IA162" s="403"/>
      <c r="IB162" s="403"/>
      <c r="IC162" s="403"/>
      <c r="ID162" s="403"/>
      <c r="IE162" s="403"/>
      <c r="IF162" s="403"/>
      <c r="IG162" s="403"/>
      <c r="IH162" s="403"/>
      <c r="II162" s="403"/>
      <c r="IJ162" s="403"/>
      <c r="IK162" s="403"/>
      <c r="IL162" s="403"/>
      <c r="IM162" s="403"/>
      <c r="IN162" s="403"/>
      <c r="IO162" s="403"/>
      <c r="IP162" s="403"/>
      <c r="IQ162" s="403"/>
      <c r="IR162" s="403"/>
      <c r="IS162" s="403"/>
      <c r="IT162" s="403"/>
      <c r="IU162" s="403"/>
      <c r="IV162" s="403"/>
    </row>
    <row r="163" spans="1:256" s="504" customFormat="1" x14ac:dyDescent="0.3">
      <c r="A163" s="500"/>
      <c r="B163" s="501"/>
      <c r="C163" s="501"/>
      <c r="D163" s="501"/>
      <c r="E163" s="501"/>
      <c r="F163" s="501"/>
      <c r="G163" s="501"/>
      <c r="H163" s="501"/>
      <c r="I163" s="501"/>
      <c r="J163" s="501"/>
      <c r="K163" s="501"/>
      <c r="L163" s="501"/>
      <c r="M163" s="501"/>
      <c r="N163" s="502"/>
      <c r="O163" s="501"/>
      <c r="P163" s="503"/>
    </row>
    <row r="164" spans="1:256" s="569" customFormat="1" x14ac:dyDescent="0.3">
      <c r="A164" s="572"/>
      <c r="B164" s="578" t="s">
        <v>55</v>
      </c>
      <c r="C164" s="576"/>
      <c r="D164" s="580"/>
      <c r="E164" s="580"/>
      <c r="F164" s="580"/>
      <c r="G164" s="580"/>
      <c r="H164" s="580"/>
      <c r="I164" s="580"/>
      <c r="J164" s="580"/>
      <c r="K164" s="580" t="s">
        <v>98</v>
      </c>
      <c r="L164" s="580" t="s">
        <v>226</v>
      </c>
      <c r="M164" s="408"/>
      <c r="N164" s="581" t="s">
        <v>114</v>
      </c>
      <c r="O164" s="408"/>
      <c r="P164" s="568"/>
    </row>
    <row r="165" spans="1:256" s="419" customFormat="1" x14ac:dyDescent="0.3">
      <c r="A165" s="427"/>
      <c r="B165" s="428" t="s">
        <v>56</v>
      </c>
      <c r="C165" s="428"/>
      <c r="D165" s="428"/>
      <c r="E165" s="428"/>
      <c r="F165" s="428"/>
      <c r="G165" s="428"/>
      <c r="H165" s="428"/>
      <c r="I165" s="428"/>
      <c r="J165" s="428"/>
      <c r="K165" s="470" t="s">
        <v>117</v>
      </c>
      <c r="L165" s="449" t="s">
        <v>117</v>
      </c>
      <c r="M165" s="428"/>
      <c r="N165" s="470"/>
      <c r="O165" s="430"/>
      <c r="P165" s="418"/>
    </row>
    <row r="166" spans="1:256" s="419" customFormat="1" x14ac:dyDescent="0.3">
      <c r="A166" s="427"/>
      <c r="B166" s="428" t="s">
        <v>57</v>
      </c>
      <c r="C166" s="428"/>
      <c r="D166" s="428"/>
      <c r="E166" s="428"/>
      <c r="F166" s="428"/>
      <c r="G166" s="428"/>
      <c r="H166" s="428"/>
      <c r="I166" s="428"/>
      <c r="J166" s="428"/>
      <c r="K166" s="470">
        <v>0</v>
      </c>
      <c r="L166" s="470">
        <f>+'May 18'!L168</f>
        <v>19642</v>
      </c>
      <c r="M166" s="428"/>
      <c r="N166" s="470">
        <f>K166+L166</f>
        <v>19642</v>
      </c>
      <c r="O166" s="430"/>
      <c r="P166" s="418"/>
    </row>
    <row r="167" spans="1:256" s="419" customFormat="1" x14ac:dyDescent="0.3">
      <c r="A167" s="427"/>
      <c r="B167" s="428" t="s">
        <v>58</v>
      </c>
      <c r="C167" s="428"/>
      <c r="D167" s="428"/>
      <c r="E167" s="428"/>
      <c r="F167" s="428"/>
      <c r="G167" s="428"/>
      <c r="H167" s="428"/>
      <c r="I167" s="428"/>
      <c r="J167" s="428"/>
      <c r="K167" s="469">
        <v>0</v>
      </c>
      <c r="L167" s="469">
        <f>-L107</f>
        <v>0</v>
      </c>
      <c r="M167" s="428"/>
      <c r="N167" s="470">
        <f>K167+L167</f>
        <v>0</v>
      </c>
      <c r="O167" s="430"/>
      <c r="P167" s="418"/>
    </row>
    <row r="168" spans="1:256" s="419" customFormat="1" x14ac:dyDescent="0.3">
      <c r="A168" s="427"/>
      <c r="B168" s="428" t="s">
        <v>59</v>
      </c>
      <c r="C168" s="428"/>
      <c r="D168" s="428"/>
      <c r="E168" s="428"/>
      <c r="F168" s="428"/>
      <c r="G168" s="428"/>
      <c r="H168" s="428"/>
      <c r="I168" s="428"/>
      <c r="J168" s="428"/>
      <c r="K168" s="470">
        <f>K166+K167</f>
        <v>0</v>
      </c>
      <c r="L168" s="470">
        <f>L167+L166</f>
        <v>19642</v>
      </c>
      <c r="M168" s="428"/>
      <c r="N168" s="470">
        <f>K168+L168</f>
        <v>19642</v>
      </c>
      <c r="O168" s="430"/>
      <c r="P168" s="418"/>
    </row>
    <row r="169" spans="1:256" s="419" customFormat="1" x14ac:dyDescent="0.3">
      <c r="A169" s="427"/>
      <c r="B169" s="428" t="s">
        <v>60</v>
      </c>
      <c r="C169" s="428"/>
      <c r="D169" s="428"/>
      <c r="E169" s="428"/>
      <c r="F169" s="428"/>
      <c r="G169" s="428"/>
      <c r="H169" s="428"/>
      <c r="I169" s="428"/>
      <c r="J169" s="428"/>
      <c r="K169" s="470" t="s">
        <v>117</v>
      </c>
      <c r="L169" s="449" t="s">
        <v>117</v>
      </c>
      <c r="M169" s="428"/>
      <c r="N169" s="470"/>
      <c r="O169" s="430"/>
      <c r="P169" s="418"/>
    </row>
    <row r="170" spans="1:256" ht="16.2" thickBot="1" x14ac:dyDescent="0.35">
      <c r="A170" s="404"/>
      <c r="B170" s="471"/>
      <c r="C170" s="471"/>
      <c r="D170" s="471"/>
      <c r="E170" s="471"/>
      <c r="F170" s="471"/>
      <c r="G170" s="471"/>
      <c r="H170" s="471"/>
      <c r="I170" s="471"/>
      <c r="J170" s="471"/>
      <c r="K170" s="471"/>
      <c r="L170" s="471"/>
      <c r="M170" s="471"/>
      <c r="N170" s="488"/>
      <c r="O170" s="471"/>
      <c r="P170" s="402"/>
    </row>
    <row r="171" spans="1:256" x14ac:dyDescent="0.3">
      <c r="A171" s="399"/>
      <c r="B171" s="401"/>
      <c r="C171" s="401"/>
      <c r="D171" s="401"/>
      <c r="E171" s="401"/>
      <c r="F171" s="401"/>
      <c r="G171" s="401"/>
      <c r="H171" s="401"/>
      <c r="I171" s="401"/>
      <c r="J171" s="401"/>
      <c r="K171" s="401"/>
      <c r="L171" s="401"/>
      <c r="M171" s="401"/>
      <c r="N171" s="491"/>
      <c r="O171" s="401"/>
      <c r="P171" s="402"/>
    </row>
    <row r="172" spans="1:256" x14ac:dyDescent="0.3">
      <c r="A172" s="404"/>
      <c r="B172" s="578" t="s">
        <v>61</v>
      </c>
      <c r="C172" s="406"/>
      <c r="D172" s="406"/>
      <c r="E172" s="406"/>
      <c r="F172" s="406"/>
      <c r="G172" s="406"/>
      <c r="H172" s="406"/>
      <c r="I172" s="406"/>
      <c r="J172" s="406"/>
      <c r="K172" s="406"/>
      <c r="L172" s="406"/>
      <c r="M172" s="406"/>
      <c r="N172" s="505"/>
      <c r="O172" s="406"/>
      <c r="P172" s="402"/>
    </row>
    <row r="173" spans="1:256" s="419" customFormat="1" x14ac:dyDescent="0.3">
      <c r="A173" s="427"/>
      <c r="B173" s="428" t="s">
        <v>62</v>
      </c>
      <c r="C173" s="428"/>
      <c r="D173" s="428"/>
      <c r="E173" s="428"/>
      <c r="F173" s="428"/>
      <c r="G173" s="428"/>
      <c r="H173" s="428"/>
      <c r="I173" s="428"/>
      <c r="J173" s="428"/>
      <c r="K173" s="428"/>
      <c r="L173" s="428"/>
      <c r="M173" s="428"/>
      <c r="N173" s="489">
        <f>(N87+N89+N90+N91+N92)/-N93</f>
        <v>5.4545454545454541</v>
      </c>
      <c r="O173" s="430" t="s">
        <v>115</v>
      </c>
      <c r="P173" s="418"/>
    </row>
    <row r="174" spans="1:256" s="419" customFormat="1" x14ac:dyDescent="0.3">
      <c r="A174" s="427"/>
      <c r="B174" s="428" t="s">
        <v>63</v>
      </c>
      <c r="C174" s="428"/>
      <c r="D174" s="428"/>
      <c r="E174" s="428"/>
      <c r="F174" s="428"/>
      <c r="G174" s="428"/>
      <c r="H174" s="428"/>
      <c r="I174" s="428"/>
      <c r="J174" s="428"/>
      <c r="K174" s="428"/>
      <c r="L174" s="428"/>
      <c r="M174" s="428"/>
      <c r="N174" s="506">
        <v>2.25</v>
      </c>
      <c r="O174" s="430" t="s">
        <v>115</v>
      </c>
      <c r="P174" s="418"/>
    </row>
    <row r="175" spans="1:256" s="419" customFormat="1" x14ac:dyDescent="0.3">
      <c r="A175" s="427"/>
      <c r="B175" s="428" t="s">
        <v>64</v>
      </c>
      <c r="C175" s="428"/>
      <c r="D175" s="428"/>
      <c r="E175" s="428"/>
      <c r="F175" s="428"/>
      <c r="G175" s="428"/>
      <c r="H175" s="428"/>
      <c r="I175" s="428"/>
      <c r="J175" s="428"/>
      <c r="K175" s="428"/>
      <c r="L175" s="428"/>
      <c r="M175" s="428"/>
      <c r="N175" s="489">
        <f>(N87+N89+N90+N91+N92+N93)/-N95</f>
        <v>24.5</v>
      </c>
      <c r="O175" s="430" t="s">
        <v>115</v>
      </c>
      <c r="P175" s="418"/>
    </row>
    <row r="176" spans="1:256" s="419" customFormat="1" x14ac:dyDescent="0.3">
      <c r="A176" s="427"/>
      <c r="B176" s="428" t="s">
        <v>65</v>
      </c>
      <c r="C176" s="428"/>
      <c r="D176" s="428"/>
      <c r="E176" s="428"/>
      <c r="F176" s="428"/>
      <c r="G176" s="428"/>
      <c r="H176" s="428"/>
      <c r="I176" s="428"/>
      <c r="J176" s="428"/>
      <c r="K176" s="428"/>
      <c r="L176" s="428"/>
      <c r="M176" s="428"/>
      <c r="N176" s="506">
        <v>51.13</v>
      </c>
      <c r="O176" s="430" t="s">
        <v>115</v>
      </c>
      <c r="P176" s="418"/>
    </row>
    <row r="177" spans="1:16" s="419" customFormat="1" x14ac:dyDescent="0.3">
      <c r="A177" s="427"/>
      <c r="B177" s="428" t="s">
        <v>166</v>
      </c>
      <c r="C177" s="428"/>
      <c r="D177" s="428"/>
      <c r="E177" s="428"/>
      <c r="F177" s="428"/>
      <c r="G177" s="428"/>
      <c r="H177" s="428"/>
      <c r="I177" s="428"/>
      <c r="J177" s="428"/>
      <c r="K177" s="428"/>
      <c r="L177" s="428"/>
      <c r="M177" s="428"/>
      <c r="N177" s="489">
        <f>(N87+N89+N90+N91+N92+N93+N95)/-N96</f>
        <v>18.8</v>
      </c>
      <c r="O177" s="430" t="s">
        <v>115</v>
      </c>
      <c r="P177" s="418"/>
    </row>
    <row r="178" spans="1:16" s="419" customFormat="1" x14ac:dyDescent="0.3">
      <c r="A178" s="427"/>
      <c r="B178" s="428" t="s">
        <v>167</v>
      </c>
      <c r="C178" s="428"/>
      <c r="D178" s="428"/>
      <c r="E178" s="428"/>
      <c r="F178" s="428"/>
      <c r="G178" s="428"/>
      <c r="H178" s="428"/>
      <c r="I178" s="428"/>
      <c r="J178" s="428"/>
      <c r="K178" s="428"/>
      <c r="L178" s="428"/>
      <c r="M178" s="428"/>
      <c r="N178" s="506">
        <v>47.76</v>
      </c>
      <c r="O178" s="430" t="s">
        <v>115</v>
      </c>
      <c r="P178" s="418"/>
    </row>
    <row r="179" spans="1:16" s="419" customFormat="1" x14ac:dyDescent="0.3">
      <c r="A179" s="507"/>
      <c r="B179" s="508"/>
      <c r="C179" s="508"/>
      <c r="D179" s="508"/>
      <c r="E179" s="508"/>
      <c r="F179" s="508"/>
      <c r="G179" s="508"/>
      <c r="H179" s="508"/>
      <c r="I179" s="508"/>
      <c r="J179" s="508"/>
      <c r="K179" s="508"/>
      <c r="L179" s="508"/>
      <c r="M179" s="508"/>
      <c r="N179" s="508"/>
      <c r="O179" s="509"/>
      <c r="P179" s="418"/>
    </row>
    <row r="180" spans="1:16" s="419" customFormat="1" x14ac:dyDescent="0.3">
      <c r="A180" s="415"/>
      <c r="B180" s="458"/>
      <c r="C180" s="458"/>
      <c r="D180" s="458"/>
      <c r="E180" s="458"/>
      <c r="F180" s="458"/>
      <c r="G180" s="458"/>
      <c r="H180" s="458"/>
      <c r="I180" s="458"/>
      <c r="J180" s="458"/>
      <c r="K180" s="458"/>
      <c r="L180" s="458"/>
      <c r="M180" s="458"/>
      <c r="N180" s="458"/>
      <c r="O180" s="458"/>
      <c r="P180" s="418"/>
    </row>
    <row r="181" spans="1:16" s="419" customFormat="1" x14ac:dyDescent="0.3">
      <c r="A181" s="415"/>
      <c r="B181" s="416"/>
      <c r="C181" s="416"/>
      <c r="D181" s="416"/>
      <c r="E181" s="416"/>
      <c r="F181" s="416"/>
      <c r="G181" s="416"/>
      <c r="H181" s="416"/>
      <c r="I181" s="416"/>
      <c r="J181" s="416"/>
      <c r="K181" s="416"/>
      <c r="L181" s="416"/>
      <c r="M181" s="416"/>
      <c r="N181" s="416"/>
      <c r="O181" s="416"/>
      <c r="P181" s="418"/>
    </row>
    <row r="182" spans="1:16" s="419" customFormat="1" ht="18.600000000000001" thickBot="1" x14ac:dyDescent="0.4">
      <c r="A182" s="463"/>
      <c r="B182" s="464" t="str">
        <f>B115</f>
        <v>FF7 INVESTOR REPORT QUARTER ENDING AUGUST 2018</v>
      </c>
      <c r="C182" s="465"/>
      <c r="D182" s="465"/>
      <c r="E182" s="465"/>
      <c r="F182" s="465"/>
      <c r="G182" s="465"/>
      <c r="H182" s="465"/>
      <c r="I182" s="465"/>
      <c r="J182" s="465"/>
      <c r="K182" s="465"/>
      <c r="L182" s="465"/>
      <c r="M182" s="465"/>
      <c r="N182" s="465"/>
      <c r="O182" s="467"/>
      <c r="P182" s="418"/>
    </row>
    <row r="183" spans="1:16" x14ac:dyDescent="0.3">
      <c r="A183" s="603"/>
      <c r="B183" s="604" t="s">
        <v>66</v>
      </c>
      <c r="C183" s="607"/>
      <c r="D183" s="608"/>
      <c r="E183" s="608"/>
      <c r="F183" s="608"/>
      <c r="G183" s="608"/>
      <c r="H183" s="608"/>
      <c r="I183" s="608"/>
      <c r="J183" s="608"/>
      <c r="K183" s="608"/>
      <c r="L183" s="608">
        <v>43343</v>
      </c>
      <c r="M183" s="605"/>
      <c r="N183" s="605"/>
      <c r="O183" s="605"/>
      <c r="P183" s="402"/>
    </row>
    <row r="184" spans="1:16" x14ac:dyDescent="0.3">
      <c r="A184" s="510"/>
      <c r="B184" s="511"/>
      <c r="C184" s="512"/>
      <c r="D184" s="513"/>
      <c r="E184" s="513"/>
      <c r="F184" s="513"/>
      <c r="G184" s="513"/>
      <c r="H184" s="513"/>
      <c r="I184" s="513"/>
      <c r="J184" s="513"/>
      <c r="K184" s="513"/>
      <c r="L184" s="513"/>
      <c r="M184" s="478"/>
      <c r="N184" s="478"/>
      <c r="O184" s="478"/>
      <c r="P184" s="402"/>
    </row>
    <row r="185" spans="1:16" s="419" customFormat="1" x14ac:dyDescent="0.3">
      <c r="A185" s="427"/>
      <c r="B185" s="428" t="s">
        <v>67</v>
      </c>
      <c r="C185" s="514"/>
      <c r="D185" s="452"/>
      <c r="E185" s="452"/>
      <c r="F185" s="452"/>
      <c r="G185" s="452"/>
      <c r="H185" s="452"/>
      <c r="I185" s="452"/>
      <c r="J185" s="452"/>
      <c r="K185" s="452"/>
      <c r="L185" s="446">
        <v>7.2950000000000001E-2</v>
      </c>
      <c r="M185" s="428"/>
      <c r="N185" s="428"/>
      <c r="O185" s="430"/>
      <c r="P185" s="418"/>
    </row>
    <row r="186" spans="1:16" s="419" customFormat="1" x14ac:dyDescent="0.3">
      <c r="A186" s="427"/>
      <c r="B186" s="428" t="s">
        <v>213</v>
      </c>
      <c r="C186" s="514"/>
      <c r="D186" s="452"/>
      <c r="E186" s="452"/>
      <c r="F186" s="452"/>
      <c r="G186" s="452"/>
      <c r="H186" s="452"/>
      <c r="I186" s="452"/>
      <c r="J186" s="452"/>
      <c r="K186" s="452"/>
      <c r="L186" s="446">
        <v>5.79E-2</v>
      </c>
      <c r="M186" s="428"/>
      <c r="N186" s="428"/>
      <c r="O186" s="430"/>
      <c r="P186" s="418"/>
    </row>
    <row r="187" spans="1:16" s="419" customFormat="1" x14ac:dyDescent="0.3">
      <c r="A187" s="427"/>
      <c r="B187" s="428" t="s">
        <v>68</v>
      </c>
      <c r="C187" s="514"/>
      <c r="D187" s="452"/>
      <c r="E187" s="452"/>
      <c r="F187" s="452"/>
      <c r="G187" s="452"/>
      <c r="H187" s="452"/>
      <c r="I187" s="452"/>
      <c r="J187" s="452"/>
      <c r="K187" s="452"/>
      <c r="L187" s="446">
        <f>L185-L186</f>
        <v>1.5050000000000001E-2</v>
      </c>
      <c r="M187" s="428"/>
      <c r="N187" s="428"/>
      <c r="O187" s="430"/>
      <c r="P187" s="418"/>
    </row>
    <row r="188" spans="1:16" s="419" customFormat="1" x14ac:dyDescent="0.3">
      <c r="A188" s="427"/>
      <c r="B188" s="428" t="s">
        <v>69</v>
      </c>
      <c r="C188" s="514"/>
      <c r="D188" s="452"/>
      <c r="E188" s="452"/>
      <c r="F188" s="452"/>
      <c r="G188" s="452"/>
      <c r="H188" s="452"/>
      <c r="I188" s="452"/>
      <c r="J188" s="452"/>
      <c r="K188" s="452"/>
      <c r="L188" s="446">
        <v>4.2000000000000003E-2</v>
      </c>
      <c r="M188" s="428"/>
      <c r="N188" s="428"/>
      <c r="O188" s="430"/>
      <c r="P188" s="418"/>
    </row>
    <row r="189" spans="1:16" s="419" customFormat="1" x14ac:dyDescent="0.3">
      <c r="A189" s="427"/>
      <c r="B189" s="428" t="s">
        <v>212</v>
      </c>
      <c r="C189" s="514"/>
      <c r="D189" s="452"/>
      <c r="E189" s="452"/>
      <c r="F189" s="452"/>
      <c r="G189" s="452"/>
      <c r="H189" s="452"/>
      <c r="I189" s="452"/>
      <c r="J189" s="452"/>
      <c r="K189" s="452"/>
      <c r="L189" s="446">
        <f>N34</f>
        <v>9.247289481985322E-3</v>
      </c>
      <c r="M189" s="428"/>
      <c r="N189" s="428"/>
      <c r="O189" s="430"/>
      <c r="P189" s="418"/>
    </row>
    <row r="190" spans="1:16" s="419" customFormat="1" x14ac:dyDescent="0.3">
      <c r="A190" s="427"/>
      <c r="B190" s="428" t="s">
        <v>70</v>
      </c>
      <c r="C190" s="514"/>
      <c r="D190" s="452"/>
      <c r="E190" s="452"/>
      <c r="F190" s="452"/>
      <c r="G190" s="452"/>
      <c r="H190" s="452"/>
      <c r="I190" s="452"/>
      <c r="J190" s="452"/>
      <c r="K190" s="452"/>
      <c r="L190" s="446">
        <f>L188-L189</f>
        <v>3.2752710518014677E-2</v>
      </c>
      <c r="M190" s="428"/>
      <c r="N190" s="428"/>
      <c r="O190" s="430"/>
      <c r="P190" s="418"/>
    </row>
    <row r="191" spans="1:16" s="419" customFormat="1" x14ac:dyDescent="0.3">
      <c r="A191" s="427"/>
      <c r="B191" s="428" t="s">
        <v>203</v>
      </c>
      <c r="C191" s="514"/>
      <c r="D191" s="452"/>
      <c r="E191" s="452"/>
      <c r="F191" s="452"/>
      <c r="G191" s="452"/>
      <c r="H191" s="452"/>
      <c r="I191" s="452"/>
      <c r="J191" s="452"/>
      <c r="K191" s="452"/>
      <c r="L191" s="446">
        <f>+N87/F59</f>
        <v>1.1332312404287902E-2</v>
      </c>
      <c r="M191" s="428"/>
      <c r="N191" s="428"/>
      <c r="O191" s="430"/>
      <c r="P191" s="418"/>
    </row>
    <row r="192" spans="1:16" s="419" customFormat="1" x14ac:dyDescent="0.3">
      <c r="A192" s="427"/>
      <c r="B192" s="428" t="s">
        <v>171</v>
      </c>
      <c r="C192" s="514"/>
      <c r="D192" s="452"/>
      <c r="E192" s="452"/>
      <c r="F192" s="452"/>
      <c r="G192" s="452"/>
      <c r="H192" s="452"/>
      <c r="I192" s="452"/>
      <c r="J192" s="452"/>
      <c r="K192" s="452"/>
      <c r="L192" s="515">
        <v>48823</v>
      </c>
      <c r="M192" s="428"/>
      <c r="N192" s="428"/>
      <c r="O192" s="430"/>
      <c r="P192" s="418"/>
    </row>
    <row r="193" spans="1:16" s="419" customFormat="1" x14ac:dyDescent="0.3">
      <c r="A193" s="427"/>
      <c r="B193" s="428" t="s">
        <v>172</v>
      </c>
      <c r="C193" s="514"/>
      <c r="D193" s="452"/>
      <c r="E193" s="452"/>
      <c r="F193" s="452"/>
      <c r="G193" s="452"/>
      <c r="H193" s="452"/>
      <c r="I193" s="452"/>
      <c r="J193" s="452"/>
      <c r="K193" s="452"/>
      <c r="L193" s="515">
        <v>48823</v>
      </c>
      <c r="M193" s="428"/>
      <c r="N193" s="428"/>
      <c r="O193" s="430"/>
      <c r="P193" s="418"/>
    </row>
    <row r="194" spans="1:16" s="419" customFormat="1" x14ac:dyDescent="0.3">
      <c r="A194" s="427"/>
      <c r="B194" s="428" t="s">
        <v>173</v>
      </c>
      <c r="C194" s="514"/>
      <c r="D194" s="452"/>
      <c r="E194" s="452"/>
      <c r="F194" s="452"/>
      <c r="G194" s="452"/>
      <c r="H194" s="452"/>
      <c r="I194" s="452"/>
      <c r="J194" s="452"/>
      <c r="K194" s="452"/>
      <c r="L194" s="515">
        <v>48823</v>
      </c>
      <c r="M194" s="428"/>
      <c r="N194" s="428"/>
      <c r="O194" s="430"/>
      <c r="P194" s="418"/>
    </row>
    <row r="195" spans="1:16" s="419" customFormat="1" x14ac:dyDescent="0.3">
      <c r="A195" s="427"/>
      <c r="B195" s="428" t="s">
        <v>71</v>
      </c>
      <c r="C195" s="514"/>
      <c r="D195" s="452"/>
      <c r="E195" s="452"/>
      <c r="F195" s="452"/>
      <c r="G195" s="452"/>
      <c r="H195" s="452"/>
      <c r="I195" s="452"/>
      <c r="J195" s="452"/>
      <c r="K195" s="452"/>
      <c r="L195" s="450">
        <v>9.93</v>
      </c>
      <c r="M195" s="428" t="s">
        <v>110</v>
      </c>
      <c r="N195" s="428"/>
      <c r="O195" s="430"/>
      <c r="P195" s="418"/>
    </row>
    <row r="196" spans="1:16" s="419" customFormat="1" x14ac:dyDescent="0.3">
      <c r="A196" s="427"/>
      <c r="B196" s="428" t="s">
        <v>72</v>
      </c>
      <c r="C196" s="514"/>
      <c r="D196" s="452"/>
      <c r="E196" s="452"/>
      <c r="F196" s="452"/>
      <c r="G196" s="452"/>
      <c r="H196" s="452"/>
      <c r="I196" s="452"/>
      <c r="J196" s="452"/>
      <c r="K196" s="452"/>
      <c r="L196" s="450">
        <v>3.97</v>
      </c>
      <c r="M196" s="428" t="s">
        <v>110</v>
      </c>
      <c r="N196" s="428"/>
      <c r="O196" s="430"/>
      <c r="P196" s="418"/>
    </row>
    <row r="197" spans="1:16" s="419" customFormat="1" x14ac:dyDescent="0.3">
      <c r="A197" s="427"/>
      <c r="B197" s="428" t="s">
        <v>73</v>
      </c>
      <c r="C197" s="514"/>
      <c r="D197" s="452"/>
      <c r="E197" s="452"/>
      <c r="F197" s="452"/>
      <c r="G197" s="452"/>
      <c r="H197" s="452"/>
      <c r="I197" s="452"/>
      <c r="J197" s="452"/>
      <c r="K197" s="452"/>
      <c r="L197" s="446">
        <f>+H56/F56</f>
        <v>4.7575128737222347E-2</v>
      </c>
      <c r="M197" s="428"/>
      <c r="N197" s="428"/>
      <c r="O197" s="430"/>
      <c r="P197" s="418"/>
    </row>
    <row r="198" spans="1:16" s="419" customFormat="1" x14ac:dyDescent="0.3">
      <c r="A198" s="427"/>
      <c r="B198" s="428" t="s">
        <v>74</v>
      </c>
      <c r="C198" s="514"/>
      <c r="D198" s="452"/>
      <c r="E198" s="452"/>
      <c r="F198" s="452"/>
      <c r="G198" s="452"/>
      <c r="H198" s="452"/>
      <c r="I198" s="452"/>
      <c r="J198" s="452"/>
      <c r="K198" s="452"/>
      <c r="L198" s="446">
        <v>0.26640000000000003</v>
      </c>
      <c r="M198" s="428"/>
      <c r="N198" s="428"/>
      <c r="O198" s="430"/>
      <c r="P198" s="418"/>
    </row>
    <row r="199" spans="1:16" x14ac:dyDescent="0.3">
      <c r="A199" s="510"/>
      <c r="B199" s="476"/>
      <c r="C199" s="476"/>
      <c r="D199" s="476"/>
      <c r="E199" s="476"/>
      <c r="F199" s="476"/>
      <c r="G199" s="476"/>
      <c r="H199" s="476"/>
      <c r="I199" s="476"/>
      <c r="J199" s="476"/>
      <c r="K199" s="476"/>
      <c r="L199" s="516"/>
      <c r="M199" s="476"/>
      <c r="N199" s="517"/>
      <c r="O199" s="476"/>
      <c r="P199" s="402"/>
    </row>
    <row r="200" spans="1:16" x14ac:dyDescent="0.3">
      <c r="A200" s="609"/>
      <c r="B200" s="599" t="s">
        <v>75</v>
      </c>
      <c r="C200" s="601"/>
      <c r="D200" s="601"/>
      <c r="E200" s="601"/>
      <c r="F200" s="601"/>
      <c r="G200" s="601"/>
      <c r="H200" s="601"/>
      <c r="I200" s="601"/>
      <c r="J200" s="601"/>
      <c r="K200" s="601" t="s">
        <v>99</v>
      </c>
      <c r="L200" s="615" t="s">
        <v>106</v>
      </c>
      <c r="M200" s="591"/>
      <c r="N200" s="591"/>
      <c r="O200" s="594"/>
      <c r="P200" s="402"/>
    </row>
    <row r="201" spans="1:16" s="419" customFormat="1" x14ac:dyDescent="0.3">
      <c r="A201" s="610"/>
      <c r="B201" s="588" t="s">
        <v>76</v>
      </c>
      <c r="C201" s="597"/>
      <c r="D201" s="611"/>
      <c r="E201" s="611"/>
      <c r="F201" s="611"/>
      <c r="G201" s="611"/>
      <c r="H201" s="611"/>
      <c r="I201" s="611"/>
      <c r="J201" s="611"/>
      <c r="K201" s="611">
        <v>3</v>
      </c>
      <c r="L201" s="612">
        <v>143</v>
      </c>
      <c r="M201" s="588"/>
      <c r="N201" s="613"/>
      <c r="O201" s="614"/>
      <c r="P201" s="418"/>
    </row>
    <row r="202" spans="1:16" s="419" customFormat="1" x14ac:dyDescent="0.3">
      <c r="A202" s="518"/>
      <c r="B202" s="428" t="s">
        <v>136</v>
      </c>
      <c r="C202" s="469"/>
      <c r="D202" s="434"/>
      <c r="E202" s="434"/>
      <c r="F202" s="434"/>
      <c r="G202" s="434"/>
      <c r="H202" s="434"/>
      <c r="I202" s="434"/>
      <c r="J202" s="434"/>
      <c r="K202" s="522">
        <f>+J269</f>
        <v>0</v>
      </c>
      <c r="L202" s="519">
        <f>+L269</f>
        <v>0</v>
      </c>
      <c r="M202" s="428"/>
      <c r="N202" s="520"/>
      <c r="O202" s="521"/>
      <c r="P202" s="418"/>
    </row>
    <row r="203" spans="1:16" s="419" customFormat="1" x14ac:dyDescent="0.3">
      <c r="A203" s="518"/>
      <c r="B203" s="428" t="s">
        <v>77</v>
      </c>
      <c r="C203" s="469"/>
      <c r="D203" s="434"/>
      <c r="E203" s="434"/>
      <c r="F203" s="434"/>
      <c r="G203" s="434"/>
      <c r="H203" s="434"/>
      <c r="I203" s="434"/>
      <c r="J203" s="434"/>
      <c r="K203" s="522">
        <f>+J286</f>
        <v>1</v>
      </c>
      <c r="L203" s="519">
        <f>+L286</f>
        <v>109</v>
      </c>
      <c r="M203" s="428"/>
      <c r="N203" s="520"/>
      <c r="O203" s="521"/>
      <c r="P203" s="418"/>
    </row>
    <row r="204" spans="1:16" x14ac:dyDescent="0.3">
      <c r="A204" s="523"/>
      <c r="B204" s="562" t="s">
        <v>78</v>
      </c>
      <c r="C204" s="524"/>
      <c r="D204" s="443"/>
      <c r="E204" s="443"/>
      <c r="F204" s="443"/>
      <c r="G204" s="443"/>
      <c r="H204" s="443"/>
      <c r="I204" s="443"/>
      <c r="J204" s="443"/>
      <c r="K204" s="443"/>
      <c r="L204" s="519">
        <v>0</v>
      </c>
      <c r="M204" s="443"/>
      <c r="N204" s="525"/>
      <c r="O204" s="526"/>
      <c r="P204" s="402"/>
    </row>
    <row r="205" spans="1:16" x14ac:dyDescent="0.3">
      <c r="A205" s="523"/>
      <c r="B205" s="562" t="s">
        <v>79</v>
      </c>
      <c r="C205" s="524"/>
      <c r="D205" s="443"/>
      <c r="E205" s="443"/>
      <c r="F205" s="443"/>
      <c r="G205" s="443"/>
      <c r="H205" s="443"/>
      <c r="I205" s="443"/>
      <c r="J205" s="443"/>
      <c r="K205" s="443"/>
      <c r="L205" s="527" t="s">
        <v>107</v>
      </c>
      <c r="M205" s="443"/>
      <c r="N205" s="525"/>
      <c r="O205" s="526"/>
      <c r="P205" s="402"/>
    </row>
    <row r="206" spans="1:16" x14ac:dyDescent="0.3">
      <c r="A206" s="528"/>
      <c r="B206" s="562" t="s">
        <v>80</v>
      </c>
      <c r="C206" s="529"/>
      <c r="D206" s="443"/>
      <c r="E206" s="443"/>
      <c r="F206" s="443"/>
      <c r="G206" s="443"/>
      <c r="H206" s="443"/>
      <c r="I206" s="443"/>
      <c r="J206" s="443"/>
      <c r="K206" s="443"/>
      <c r="L206" s="530"/>
      <c r="M206" s="443"/>
      <c r="N206" s="525"/>
      <c r="O206" s="531"/>
      <c r="P206" s="402"/>
    </row>
    <row r="207" spans="1:16" s="419" customFormat="1" x14ac:dyDescent="0.3">
      <c r="A207" s="532"/>
      <c r="B207" s="428" t="s">
        <v>81</v>
      </c>
      <c r="C207" s="428"/>
      <c r="D207" s="428"/>
      <c r="E207" s="428"/>
      <c r="F207" s="428"/>
      <c r="G207" s="428"/>
      <c r="H207" s="428"/>
      <c r="I207" s="428"/>
      <c r="J207" s="428"/>
      <c r="K207" s="434"/>
      <c r="L207" s="519">
        <f>N144</f>
        <v>0</v>
      </c>
      <c r="M207" s="428"/>
      <c r="N207" s="520"/>
      <c r="O207" s="533"/>
      <c r="P207" s="418"/>
    </row>
    <row r="208" spans="1:16" s="419" customFormat="1" x14ac:dyDescent="0.3">
      <c r="A208" s="518"/>
      <c r="B208" s="428" t="s">
        <v>82</v>
      </c>
      <c r="C208" s="469"/>
      <c r="D208" s="428"/>
      <c r="E208" s="428"/>
      <c r="F208" s="428"/>
      <c r="G208" s="428"/>
      <c r="H208" s="428"/>
      <c r="I208" s="428"/>
      <c r="J208" s="428"/>
      <c r="K208" s="434"/>
      <c r="L208" s="519">
        <f>'May 18'!L208+L207</f>
        <v>216</v>
      </c>
      <c r="M208" s="428"/>
      <c r="N208" s="520"/>
      <c r="O208" s="533"/>
      <c r="P208" s="418"/>
    </row>
    <row r="209" spans="1:17" x14ac:dyDescent="0.3">
      <c r="A209" s="528"/>
      <c r="B209" s="562" t="s">
        <v>253</v>
      </c>
      <c r="C209" s="529"/>
      <c r="D209" s="443"/>
      <c r="E209" s="443"/>
      <c r="F209" s="443"/>
      <c r="G209" s="443"/>
      <c r="H209" s="443"/>
      <c r="I209" s="443"/>
      <c r="J209" s="443"/>
      <c r="K209" s="444"/>
      <c r="L209" s="530"/>
      <c r="M209" s="443"/>
      <c r="N209" s="525"/>
      <c r="O209" s="531"/>
      <c r="P209" s="402"/>
    </row>
    <row r="210" spans="1:17" s="419" customFormat="1" x14ac:dyDescent="0.3">
      <c r="A210" s="532"/>
      <c r="B210" s="428" t="s">
        <v>250</v>
      </c>
      <c r="C210" s="428"/>
      <c r="D210" s="428"/>
      <c r="E210" s="428"/>
      <c r="F210" s="428"/>
      <c r="G210" s="428"/>
      <c r="H210" s="428"/>
      <c r="I210" s="428"/>
      <c r="J210" s="428"/>
      <c r="K210" s="434">
        <v>0</v>
      </c>
      <c r="L210" s="519">
        <v>0</v>
      </c>
      <c r="M210" s="428"/>
      <c r="N210" s="520"/>
      <c r="O210" s="533"/>
      <c r="P210" s="418"/>
    </row>
    <row r="211" spans="1:17" s="419" customFormat="1" x14ac:dyDescent="0.3">
      <c r="A211" s="518"/>
      <c r="B211" s="428" t="s">
        <v>83</v>
      </c>
      <c r="C211" s="449"/>
      <c r="D211" s="428"/>
      <c r="E211" s="428"/>
      <c r="F211" s="428"/>
      <c r="G211" s="428"/>
      <c r="H211" s="428"/>
      <c r="I211" s="428"/>
      <c r="J211" s="428"/>
      <c r="K211" s="428"/>
      <c r="L211" s="527">
        <v>0</v>
      </c>
      <c r="M211" s="428"/>
      <c r="N211" s="520"/>
      <c r="O211" s="533"/>
      <c r="P211" s="418"/>
    </row>
    <row r="212" spans="1:17" s="419" customFormat="1" x14ac:dyDescent="0.3">
      <c r="A212" s="518"/>
      <c r="B212" s="428" t="s">
        <v>84</v>
      </c>
      <c r="C212" s="449"/>
      <c r="D212" s="428"/>
      <c r="E212" s="428"/>
      <c r="F212" s="428"/>
      <c r="G212" s="428"/>
      <c r="H212" s="428"/>
      <c r="I212" s="428"/>
      <c r="J212" s="428"/>
      <c r="K212" s="428"/>
      <c r="L212" s="527">
        <v>0</v>
      </c>
      <c r="M212" s="428"/>
      <c r="N212" s="520"/>
      <c r="O212" s="533"/>
      <c r="P212" s="418"/>
    </row>
    <row r="213" spans="1:17" x14ac:dyDescent="0.3">
      <c r="A213" s="523"/>
      <c r="B213" s="562" t="s">
        <v>177</v>
      </c>
      <c r="C213" s="534"/>
      <c r="D213" s="443"/>
      <c r="E213" s="443"/>
      <c r="F213" s="443"/>
      <c r="G213" s="443"/>
      <c r="H213" s="443"/>
      <c r="I213" s="443"/>
      <c r="J213" s="443"/>
      <c r="K213" s="443"/>
      <c r="L213" s="535"/>
      <c r="M213" s="443"/>
      <c r="N213" s="525"/>
      <c r="O213" s="531"/>
      <c r="P213" s="402"/>
    </row>
    <row r="214" spans="1:17" s="419" customFormat="1" x14ac:dyDescent="0.3">
      <c r="A214" s="518"/>
      <c r="B214" s="428" t="s">
        <v>250</v>
      </c>
      <c r="C214" s="449"/>
      <c r="D214" s="428"/>
      <c r="E214" s="428"/>
      <c r="F214" s="428"/>
      <c r="G214" s="428"/>
      <c r="H214" s="428"/>
      <c r="I214" s="428"/>
      <c r="J214" s="428"/>
      <c r="K214" s="434">
        <v>0</v>
      </c>
      <c r="L214" s="519">
        <v>0</v>
      </c>
      <c r="M214" s="428"/>
      <c r="N214" s="520"/>
      <c r="O214" s="533"/>
      <c r="P214" s="418"/>
    </row>
    <row r="215" spans="1:17" s="419" customFormat="1" x14ac:dyDescent="0.3">
      <c r="A215" s="518"/>
      <c r="B215" s="428" t="s">
        <v>178</v>
      </c>
      <c r="C215" s="449"/>
      <c r="D215" s="428"/>
      <c r="E215" s="428"/>
      <c r="F215" s="428"/>
      <c r="G215" s="428"/>
      <c r="H215" s="428"/>
      <c r="I215" s="428"/>
      <c r="J215" s="428"/>
      <c r="K215" s="428"/>
      <c r="L215" s="527">
        <v>0</v>
      </c>
      <c r="M215" s="428"/>
      <c r="N215" s="520"/>
      <c r="O215" s="533"/>
      <c r="P215" s="418"/>
    </row>
    <row r="216" spans="1:17" x14ac:dyDescent="0.3">
      <c r="A216" s="523"/>
      <c r="B216" s="529"/>
      <c r="C216" s="534"/>
      <c r="D216" s="443"/>
      <c r="E216" s="443"/>
      <c r="F216" s="443"/>
      <c r="G216" s="443"/>
      <c r="H216" s="443"/>
      <c r="I216" s="443"/>
      <c r="J216" s="443"/>
      <c r="K216" s="443"/>
      <c r="L216" s="535"/>
      <c r="M216" s="443"/>
      <c r="N216" s="525"/>
      <c r="O216" s="531"/>
      <c r="P216" s="402"/>
    </row>
    <row r="217" spans="1:17" x14ac:dyDescent="0.3">
      <c r="A217" s="523"/>
      <c r="B217" s="529"/>
      <c r="C217" s="534"/>
      <c r="D217" s="443"/>
      <c r="E217" s="443"/>
      <c r="F217" s="443"/>
      <c r="G217" s="443"/>
      <c r="H217" s="443"/>
      <c r="I217" s="443"/>
      <c r="J217" s="443"/>
      <c r="K217" s="443"/>
      <c r="L217" s="535"/>
      <c r="M217" s="443"/>
      <c r="N217" s="525"/>
      <c r="O217" s="531"/>
      <c r="P217" s="402"/>
    </row>
    <row r="218" spans="1:17" ht="18" x14ac:dyDescent="0.35">
      <c r="A218" s="523"/>
      <c r="B218" s="582" t="s">
        <v>294</v>
      </c>
      <c r="C218" s="534"/>
      <c r="D218" s="443"/>
      <c r="E218" s="583"/>
      <c r="F218" s="443"/>
      <c r="G218" s="443"/>
      <c r="H218" s="536"/>
      <c r="I218" s="443"/>
      <c r="J218" s="443"/>
      <c r="K218" s="584" t="s">
        <v>293</v>
      </c>
      <c r="L218" s="535"/>
      <c r="M218" s="443"/>
      <c r="N218" s="525"/>
      <c r="O218" s="531"/>
      <c r="P218" s="402"/>
    </row>
    <row r="219" spans="1:17" ht="18" x14ac:dyDescent="0.35">
      <c r="A219" s="537"/>
      <c r="B219" s="538"/>
      <c r="C219" s="539"/>
      <c r="D219" s="471"/>
      <c r="E219" s="471"/>
      <c r="F219" s="471"/>
      <c r="G219" s="471"/>
      <c r="H219" s="540"/>
      <c r="I219" s="471"/>
      <c r="J219" s="471"/>
      <c r="K219" s="471"/>
      <c r="L219" s="541"/>
      <c r="M219" s="471"/>
      <c r="N219" s="542"/>
      <c r="O219" s="543"/>
      <c r="P219" s="402"/>
    </row>
    <row r="220" spans="1:17" x14ac:dyDescent="0.3">
      <c r="A220" s="585"/>
      <c r="B220" s="599" t="s">
        <v>258</v>
      </c>
      <c r="C220" s="601"/>
      <c r="D220" s="601"/>
      <c r="E220" s="601"/>
      <c r="F220" s="601"/>
      <c r="G220" s="601"/>
      <c r="H220" s="601"/>
      <c r="I220" s="601"/>
      <c r="J220" s="619" t="s">
        <v>99</v>
      </c>
      <c r="K220" s="601" t="s">
        <v>100</v>
      </c>
      <c r="L220" s="615" t="s">
        <v>108</v>
      </c>
      <c r="M220" s="601" t="s">
        <v>100</v>
      </c>
      <c r="N220" s="591"/>
      <c r="O220" s="620"/>
      <c r="P220" s="402"/>
    </row>
    <row r="221" spans="1:17" s="419" customFormat="1" x14ac:dyDescent="0.3">
      <c r="A221" s="587"/>
      <c r="B221" s="597" t="s">
        <v>85</v>
      </c>
      <c r="C221" s="616"/>
      <c r="D221" s="616"/>
      <c r="E221" s="616"/>
      <c r="F221" s="616"/>
      <c r="G221" s="616"/>
      <c r="H221" s="616"/>
      <c r="I221" s="616"/>
      <c r="J221" s="597">
        <f t="shared" ref="J221:J233" si="1">+J238+J255+J272</f>
        <v>326</v>
      </c>
      <c r="K221" s="617">
        <f t="shared" ref="K221:K233" si="2">J221/$J$235</f>
        <v>0.94767441860465118</v>
      </c>
      <c r="L221" s="598">
        <f t="shared" ref="L221:L233" si="3">+L238+L255+L272</f>
        <v>11750</v>
      </c>
      <c r="M221" s="617">
        <f t="shared" ref="M221:M233" si="4">L221/$L$235</f>
        <v>0.94819238218205293</v>
      </c>
      <c r="N221" s="613"/>
      <c r="O221" s="618"/>
      <c r="P221" s="418"/>
    </row>
    <row r="222" spans="1:17" s="419" customFormat="1" x14ac:dyDescent="0.3">
      <c r="A222" s="427"/>
      <c r="B222" s="469" t="s">
        <v>86</v>
      </c>
      <c r="C222" s="544"/>
      <c r="D222" s="544"/>
      <c r="E222" s="544"/>
      <c r="F222" s="544"/>
      <c r="G222" s="544"/>
      <c r="H222" s="544"/>
      <c r="I222" s="544"/>
      <c r="J222" s="469">
        <f t="shared" si="1"/>
        <v>1</v>
      </c>
      <c r="K222" s="545">
        <f t="shared" si="2"/>
        <v>2.9069767441860465E-3</v>
      </c>
      <c r="L222" s="470">
        <f t="shared" si="3"/>
        <v>3</v>
      </c>
      <c r="M222" s="545">
        <f t="shared" si="4"/>
        <v>2.4209167204648161E-4</v>
      </c>
      <c r="N222" s="520"/>
      <c r="O222" s="533"/>
      <c r="P222" s="418"/>
      <c r="Q222" s="482"/>
    </row>
    <row r="223" spans="1:17" s="419" customFormat="1" x14ac:dyDescent="0.3">
      <c r="A223" s="427"/>
      <c r="B223" s="469" t="s">
        <v>87</v>
      </c>
      <c r="C223" s="544"/>
      <c r="D223" s="544"/>
      <c r="E223" s="544"/>
      <c r="F223" s="544"/>
      <c r="G223" s="544"/>
      <c r="H223" s="544"/>
      <c r="I223" s="544"/>
      <c r="J223" s="469">
        <f t="shared" si="1"/>
        <v>2</v>
      </c>
      <c r="K223" s="545">
        <f t="shared" si="2"/>
        <v>5.8139534883720929E-3</v>
      </c>
      <c r="L223" s="470">
        <f t="shared" si="3"/>
        <v>25</v>
      </c>
      <c r="M223" s="545">
        <f t="shared" si="4"/>
        <v>2.0174306003873468E-3</v>
      </c>
      <c r="N223" s="520"/>
      <c r="O223" s="533"/>
      <c r="P223" s="418"/>
    </row>
    <row r="224" spans="1:17" s="419" customFormat="1" x14ac:dyDescent="0.3">
      <c r="A224" s="427"/>
      <c r="B224" s="469" t="s">
        <v>145</v>
      </c>
      <c r="C224" s="544"/>
      <c r="D224" s="544"/>
      <c r="E224" s="544"/>
      <c r="F224" s="544"/>
      <c r="G224" s="544"/>
      <c r="H224" s="544"/>
      <c r="I224" s="544"/>
      <c r="J224" s="469">
        <f t="shared" si="1"/>
        <v>3</v>
      </c>
      <c r="K224" s="545">
        <f t="shared" si="2"/>
        <v>8.7209302325581394E-3</v>
      </c>
      <c r="L224" s="470">
        <f t="shared" si="3"/>
        <v>214</v>
      </c>
      <c r="M224" s="545">
        <f t="shared" si="4"/>
        <v>1.7269205939315687E-2</v>
      </c>
      <c r="N224" s="520"/>
      <c r="O224" s="533"/>
      <c r="P224" s="418"/>
      <c r="Q224" s="482"/>
    </row>
    <row r="225" spans="1:17" s="419" customFormat="1" x14ac:dyDescent="0.3">
      <c r="A225" s="427"/>
      <c r="B225" s="469" t="s">
        <v>146</v>
      </c>
      <c r="C225" s="544"/>
      <c r="D225" s="544"/>
      <c r="E225" s="544"/>
      <c r="F225" s="544"/>
      <c r="G225" s="544"/>
      <c r="H225" s="544"/>
      <c r="I225" s="544"/>
      <c r="J225" s="469">
        <f t="shared" si="1"/>
        <v>2</v>
      </c>
      <c r="K225" s="545">
        <f t="shared" si="2"/>
        <v>5.8139534883720929E-3</v>
      </c>
      <c r="L225" s="470">
        <f t="shared" si="3"/>
        <v>96</v>
      </c>
      <c r="M225" s="545">
        <f t="shared" si="4"/>
        <v>7.7469335054874116E-3</v>
      </c>
      <c r="N225" s="520"/>
      <c r="O225" s="533"/>
      <c r="P225" s="418"/>
    </row>
    <row r="226" spans="1:17" s="419" customFormat="1" x14ac:dyDescent="0.3">
      <c r="A226" s="427"/>
      <c r="B226" s="469" t="s">
        <v>147</v>
      </c>
      <c r="C226" s="544"/>
      <c r="D226" s="544"/>
      <c r="E226" s="544"/>
      <c r="F226" s="544"/>
      <c r="G226" s="544"/>
      <c r="H226" s="544"/>
      <c r="I226" s="544"/>
      <c r="J226" s="469">
        <f t="shared" si="1"/>
        <v>1</v>
      </c>
      <c r="K226" s="545">
        <f t="shared" si="2"/>
        <v>2.9069767441860465E-3</v>
      </c>
      <c r="L226" s="470">
        <f t="shared" si="3"/>
        <v>47</v>
      </c>
      <c r="M226" s="545">
        <f t="shared" si="4"/>
        <v>3.7927695287282119E-3</v>
      </c>
      <c r="N226" s="520"/>
      <c r="O226" s="533"/>
      <c r="P226" s="418"/>
      <c r="Q226" s="482"/>
    </row>
    <row r="227" spans="1:17" s="419" customFormat="1" x14ac:dyDescent="0.3">
      <c r="A227" s="427"/>
      <c r="B227" s="469" t="s">
        <v>227</v>
      </c>
      <c r="C227" s="544"/>
      <c r="D227" s="544"/>
      <c r="E227" s="544"/>
      <c r="F227" s="544"/>
      <c r="G227" s="544"/>
      <c r="H227" s="544"/>
      <c r="I227" s="544"/>
      <c r="J227" s="469">
        <f t="shared" si="1"/>
        <v>1</v>
      </c>
      <c r="K227" s="545">
        <f t="shared" si="2"/>
        <v>2.9069767441860465E-3</v>
      </c>
      <c r="L227" s="470">
        <f t="shared" si="3"/>
        <v>39</v>
      </c>
      <c r="M227" s="545">
        <f t="shared" si="4"/>
        <v>3.1471917366042608E-3</v>
      </c>
      <c r="N227" s="520"/>
      <c r="O227" s="533"/>
      <c r="P227" s="418"/>
    </row>
    <row r="228" spans="1:17" s="419" customFormat="1" x14ac:dyDescent="0.3">
      <c r="A228" s="427"/>
      <c r="B228" s="469" t="s">
        <v>228</v>
      </c>
      <c r="C228" s="544"/>
      <c r="D228" s="544"/>
      <c r="E228" s="544"/>
      <c r="F228" s="544"/>
      <c r="G228" s="544"/>
      <c r="H228" s="544"/>
      <c r="I228" s="544"/>
      <c r="J228" s="469">
        <f t="shared" si="1"/>
        <v>0</v>
      </c>
      <c r="K228" s="545">
        <f t="shared" si="2"/>
        <v>0</v>
      </c>
      <c r="L228" s="470">
        <f t="shared" si="3"/>
        <v>0</v>
      </c>
      <c r="M228" s="545">
        <f t="shared" si="4"/>
        <v>0</v>
      </c>
      <c r="N228" s="520"/>
      <c r="O228" s="533"/>
      <c r="P228" s="418"/>
      <c r="Q228" s="482"/>
    </row>
    <row r="229" spans="1:17" s="419" customFormat="1" x14ac:dyDescent="0.3">
      <c r="A229" s="427"/>
      <c r="B229" s="469" t="s">
        <v>229</v>
      </c>
      <c r="C229" s="544"/>
      <c r="D229" s="544"/>
      <c r="E229" s="544"/>
      <c r="F229" s="544"/>
      <c r="G229" s="544"/>
      <c r="H229" s="544"/>
      <c r="I229" s="544"/>
      <c r="J229" s="469">
        <f t="shared" si="1"/>
        <v>2</v>
      </c>
      <c r="K229" s="545">
        <f t="shared" si="2"/>
        <v>5.8139534883720929E-3</v>
      </c>
      <c r="L229" s="470">
        <f t="shared" si="3"/>
        <v>12</v>
      </c>
      <c r="M229" s="545">
        <f t="shared" si="4"/>
        <v>9.6836668818592645E-4</v>
      </c>
      <c r="N229" s="520"/>
      <c r="O229" s="533"/>
      <c r="P229" s="418"/>
      <c r="Q229" s="482"/>
    </row>
    <row r="230" spans="1:17" s="419" customFormat="1" x14ac:dyDescent="0.3">
      <c r="A230" s="427"/>
      <c r="B230" s="469" t="s">
        <v>230</v>
      </c>
      <c r="C230" s="544"/>
      <c r="D230" s="544"/>
      <c r="E230" s="544"/>
      <c r="F230" s="544"/>
      <c r="G230" s="544"/>
      <c r="H230" s="544"/>
      <c r="I230" s="544"/>
      <c r="J230" s="469">
        <f t="shared" si="1"/>
        <v>2</v>
      </c>
      <c r="K230" s="545">
        <f t="shared" si="2"/>
        <v>5.8139534883720929E-3</v>
      </c>
      <c r="L230" s="470">
        <f t="shared" si="3"/>
        <v>121</v>
      </c>
      <c r="M230" s="545">
        <f t="shared" si="4"/>
        <v>9.7643641058747579E-3</v>
      </c>
      <c r="N230" s="520"/>
      <c r="O230" s="533"/>
      <c r="P230" s="418"/>
      <c r="Q230" s="482"/>
    </row>
    <row r="231" spans="1:17" s="419" customFormat="1" x14ac:dyDescent="0.3">
      <c r="A231" s="427"/>
      <c r="B231" s="469" t="s">
        <v>231</v>
      </c>
      <c r="C231" s="544"/>
      <c r="D231" s="544"/>
      <c r="E231" s="544"/>
      <c r="F231" s="544"/>
      <c r="G231" s="544"/>
      <c r="H231" s="544"/>
      <c r="I231" s="544"/>
      <c r="J231" s="469">
        <f t="shared" si="1"/>
        <v>0</v>
      </c>
      <c r="K231" s="545">
        <f t="shared" si="2"/>
        <v>0</v>
      </c>
      <c r="L231" s="470">
        <f t="shared" si="3"/>
        <v>0</v>
      </c>
      <c r="M231" s="545">
        <f t="shared" si="4"/>
        <v>0</v>
      </c>
      <c r="N231" s="520"/>
      <c r="O231" s="533"/>
      <c r="P231" s="418"/>
      <c r="Q231" s="482"/>
    </row>
    <row r="232" spans="1:17" s="419" customFormat="1" x14ac:dyDescent="0.3">
      <c r="A232" s="427"/>
      <c r="B232" s="469" t="s">
        <v>232</v>
      </c>
      <c r="C232" s="544"/>
      <c r="D232" s="544"/>
      <c r="E232" s="544"/>
      <c r="F232" s="544"/>
      <c r="G232" s="544"/>
      <c r="H232" s="544"/>
      <c r="I232" s="544"/>
      <c r="J232" s="469">
        <f t="shared" si="1"/>
        <v>0</v>
      </c>
      <c r="K232" s="545">
        <f t="shared" si="2"/>
        <v>0</v>
      </c>
      <c r="L232" s="470">
        <f t="shared" si="3"/>
        <v>0</v>
      </c>
      <c r="M232" s="545">
        <f t="shared" si="4"/>
        <v>0</v>
      </c>
      <c r="N232" s="520"/>
      <c r="O232" s="533"/>
      <c r="P232" s="418"/>
      <c r="Q232" s="482"/>
    </row>
    <row r="233" spans="1:17" s="419" customFormat="1" x14ac:dyDescent="0.3">
      <c r="A233" s="427"/>
      <c r="B233" s="469" t="s">
        <v>233</v>
      </c>
      <c r="C233" s="544"/>
      <c r="D233" s="544"/>
      <c r="E233" s="544"/>
      <c r="F233" s="544"/>
      <c r="G233" s="544"/>
      <c r="H233" s="544"/>
      <c r="I233" s="544"/>
      <c r="J233" s="469">
        <f t="shared" si="1"/>
        <v>4</v>
      </c>
      <c r="K233" s="545">
        <f t="shared" si="2"/>
        <v>1.1627906976744186E-2</v>
      </c>
      <c r="L233" s="470">
        <f t="shared" si="3"/>
        <v>85</v>
      </c>
      <c r="M233" s="545">
        <f t="shared" si="4"/>
        <v>6.8592640413169788E-3</v>
      </c>
      <c r="N233" s="520"/>
      <c r="O233" s="533"/>
      <c r="P233" s="418"/>
      <c r="Q233" s="482"/>
    </row>
    <row r="234" spans="1:17" s="419" customFormat="1" x14ac:dyDescent="0.3">
      <c r="A234" s="427"/>
      <c r="B234" s="469"/>
      <c r="C234" s="544"/>
      <c r="D234" s="544"/>
      <c r="E234" s="544"/>
      <c r="F234" s="544"/>
      <c r="G234" s="544"/>
      <c r="H234" s="544"/>
      <c r="I234" s="544"/>
      <c r="J234" s="469"/>
      <c r="K234" s="545"/>
      <c r="L234" s="470"/>
      <c r="M234" s="545"/>
      <c r="N234" s="520"/>
      <c r="O234" s="533"/>
      <c r="P234" s="418"/>
      <c r="Q234" s="482"/>
    </row>
    <row r="235" spans="1:17" s="419" customFormat="1" x14ac:dyDescent="0.3">
      <c r="A235" s="427"/>
      <c r="B235" s="428"/>
      <c r="C235" s="428"/>
      <c r="D235" s="546"/>
      <c r="E235" s="546"/>
      <c r="F235" s="546"/>
      <c r="G235" s="546"/>
      <c r="H235" s="546"/>
      <c r="I235" s="546"/>
      <c r="J235" s="469">
        <f>SUM(J221:J234)</f>
        <v>344</v>
      </c>
      <c r="K235" s="545">
        <f>SUM(K221:K234)</f>
        <v>1</v>
      </c>
      <c r="L235" s="470">
        <f>SUM(L221:L234)</f>
        <v>12392</v>
      </c>
      <c r="M235" s="545">
        <f>SUM(M221:M234)</f>
        <v>1</v>
      </c>
      <c r="N235" s="428"/>
      <c r="O235" s="430"/>
      <c r="P235" s="418"/>
    </row>
    <row r="236" spans="1:17" x14ac:dyDescent="0.3">
      <c r="A236" s="537"/>
      <c r="B236" s="547"/>
      <c r="C236" s="539"/>
      <c r="D236" s="471"/>
      <c r="E236" s="471"/>
      <c r="F236" s="471"/>
      <c r="G236" s="471"/>
      <c r="H236" s="471"/>
      <c r="I236" s="471"/>
      <c r="J236" s="471"/>
      <c r="K236" s="471"/>
      <c r="L236" s="541"/>
      <c r="M236" s="471"/>
      <c r="N236" s="542"/>
      <c r="O236" s="543"/>
      <c r="P236" s="402"/>
    </row>
    <row r="237" spans="1:17" x14ac:dyDescent="0.3">
      <c r="A237" s="585"/>
      <c r="B237" s="599" t="s">
        <v>149</v>
      </c>
      <c r="C237" s="601"/>
      <c r="D237" s="601"/>
      <c r="E237" s="601"/>
      <c r="F237" s="601"/>
      <c r="G237" s="601"/>
      <c r="H237" s="601"/>
      <c r="I237" s="601"/>
      <c r="J237" s="619" t="s">
        <v>99</v>
      </c>
      <c r="K237" s="601" t="s">
        <v>100</v>
      </c>
      <c r="L237" s="615" t="s">
        <v>108</v>
      </c>
      <c r="M237" s="601" t="s">
        <v>100</v>
      </c>
      <c r="N237" s="591"/>
      <c r="O237" s="620"/>
      <c r="P237" s="402"/>
    </row>
    <row r="238" spans="1:17" s="419" customFormat="1" x14ac:dyDescent="0.3">
      <c r="A238" s="587"/>
      <c r="B238" s="597" t="s">
        <v>85</v>
      </c>
      <c r="C238" s="616"/>
      <c r="D238" s="616"/>
      <c r="E238" s="616"/>
      <c r="F238" s="616"/>
      <c r="G238" s="616"/>
      <c r="H238" s="616"/>
      <c r="I238" s="616"/>
      <c r="J238" s="597">
        <v>326</v>
      </c>
      <c r="K238" s="617">
        <f t="shared" ref="K238:K250" si="5">J238/$J$252</f>
        <v>0.95043731778425655</v>
      </c>
      <c r="L238" s="598">
        <v>11750</v>
      </c>
      <c r="M238" s="617">
        <f t="shared" ref="M238:M250" si="6">L238/$L$252</f>
        <v>0.95660669217617844</v>
      </c>
      <c r="N238" s="613"/>
      <c r="O238" s="618"/>
      <c r="P238" s="418"/>
    </row>
    <row r="239" spans="1:17" s="419" customFormat="1" x14ac:dyDescent="0.3">
      <c r="A239" s="427"/>
      <c r="B239" s="469" t="s">
        <v>86</v>
      </c>
      <c r="C239" s="544"/>
      <c r="D239" s="544"/>
      <c r="E239" s="544"/>
      <c r="F239" s="544"/>
      <c r="G239" s="544"/>
      <c r="H239" s="544"/>
      <c r="I239" s="544"/>
      <c r="J239" s="469">
        <v>1</v>
      </c>
      <c r="K239" s="545">
        <f t="shared" si="5"/>
        <v>2.9154518950437317E-3</v>
      </c>
      <c r="L239" s="470">
        <v>3</v>
      </c>
      <c r="M239" s="545">
        <f t="shared" si="6"/>
        <v>2.4424000651306684E-4</v>
      </c>
      <c r="N239" s="520"/>
      <c r="O239" s="533"/>
      <c r="P239" s="418"/>
      <c r="Q239" s="482"/>
    </row>
    <row r="240" spans="1:17" s="419" customFormat="1" x14ac:dyDescent="0.3">
      <c r="A240" s="427"/>
      <c r="B240" s="469" t="s">
        <v>87</v>
      </c>
      <c r="C240" s="544"/>
      <c r="D240" s="544"/>
      <c r="E240" s="544"/>
      <c r="F240" s="544"/>
      <c r="G240" s="544"/>
      <c r="H240" s="544"/>
      <c r="I240" s="544"/>
      <c r="J240" s="469">
        <v>2</v>
      </c>
      <c r="K240" s="545">
        <f t="shared" si="5"/>
        <v>5.8309037900874635E-3</v>
      </c>
      <c r="L240" s="470">
        <v>25</v>
      </c>
      <c r="M240" s="545">
        <f t="shared" si="6"/>
        <v>2.0353333876088901E-3</v>
      </c>
      <c r="N240" s="520"/>
      <c r="O240" s="533"/>
      <c r="P240" s="418"/>
    </row>
    <row r="241" spans="1:17" s="419" customFormat="1" x14ac:dyDescent="0.3">
      <c r="A241" s="427"/>
      <c r="B241" s="469" t="s">
        <v>145</v>
      </c>
      <c r="C241" s="544"/>
      <c r="D241" s="544"/>
      <c r="E241" s="544"/>
      <c r="F241" s="544"/>
      <c r="G241" s="544"/>
      <c r="H241" s="544"/>
      <c r="I241" s="544"/>
      <c r="J241" s="469">
        <v>3</v>
      </c>
      <c r="K241" s="545">
        <f t="shared" si="5"/>
        <v>8.7463556851311956E-3</v>
      </c>
      <c r="L241" s="470">
        <v>214</v>
      </c>
      <c r="M241" s="545">
        <f t="shared" si="6"/>
        <v>1.74224537979321E-2</v>
      </c>
      <c r="N241" s="520"/>
      <c r="O241" s="533"/>
      <c r="P241" s="418"/>
      <c r="Q241" s="482"/>
    </row>
    <row r="242" spans="1:17" s="419" customFormat="1" x14ac:dyDescent="0.3">
      <c r="A242" s="427"/>
      <c r="B242" s="469" t="s">
        <v>146</v>
      </c>
      <c r="C242" s="544"/>
      <c r="D242" s="544"/>
      <c r="E242" s="544"/>
      <c r="F242" s="544"/>
      <c r="G242" s="544"/>
      <c r="H242" s="544"/>
      <c r="I242" s="544"/>
      <c r="J242" s="469">
        <v>2</v>
      </c>
      <c r="K242" s="545">
        <f t="shared" si="5"/>
        <v>5.8309037900874635E-3</v>
      </c>
      <c r="L242" s="470">
        <v>96</v>
      </c>
      <c r="M242" s="545">
        <f t="shared" si="6"/>
        <v>7.8156802084181388E-3</v>
      </c>
      <c r="N242" s="520"/>
      <c r="O242" s="533"/>
      <c r="P242" s="418"/>
    </row>
    <row r="243" spans="1:17" s="419" customFormat="1" x14ac:dyDescent="0.3">
      <c r="A243" s="427"/>
      <c r="B243" s="469" t="s">
        <v>147</v>
      </c>
      <c r="C243" s="544"/>
      <c r="D243" s="544"/>
      <c r="E243" s="544"/>
      <c r="F243" s="544"/>
      <c r="G243" s="544"/>
      <c r="H243" s="544"/>
      <c r="I243" s="544"/>
      <c r="J243" s="469">
        <v>1</v>
      </c>
      <c r="K243" s="545">
        <f t="shared" si="5"/>
        <v>2.9154518950437317E-3</v>
      </c>
      <c r="L243" s="470">
        <v>47</v>
      </c>
      <c r="M243" s="545">
        <f t="shared" si="6"/>
        <v>3.826426768704714E-3</v>
      </c>
      <c r="N243" s="520"/>
      <c r="O243" s="533"/>
      <c r="P243" s="418"/>
      <c r="Q243" s="482"/>
    </row>
    <row r="244" spans="1:17" s="419" customFormat="1" x14ac:dyDescent="0.3">
      <c r="A244" s="427"/>
      <c r="B244" s="469" t="s">
        <v>227</v>
      </c>
      <c r="C244" s="544"/>
      <c r="D244" s="544"/>
      <c r="E244" s="544"/>
      <c r="F244" s="544"/>
      <c r="G244" s="544"/>
      <c r="H244" s="544"/>
      <c r="I244" s="544"/>
      <c r="J244" s="469">
        <v>1</v>
      </c>
      <c r="K244" s="545">
        <f t="shared" si="5"/>
        <v>2.9154518950437317E-3</v>
      </c>
      <c r="L244" s="470">
        <v>39</v>
      </c>
      <c r="M244" s="545">
        <f t="shared" si="6"/>
        <v>3.1751200846698688E-3</v>
      </c>
      <c r="N244" s="520"/>
      <c r="O244" s="533"/>
      <c r="P244" s="418"/>
    </row>
    <row r="245" spans="1:17" s="419" customFormat="1" x14ac:dyDescent="0.3">
      <c r="A245" s="427"/>
      <c r="B245" s="469" t="s">
        <v>228</v>
      </c>
      <c r="C245" s="544"/>
      <c r="D245" s="544"/>
      <c r="E245" s="544"/>
      <c r="F245" s="544"/>
      <c r="G245" s="544"/>
      <c r="H245" s="544"/>
      <c r="I245" s="544"/>
      <c r="J245" s="469">
        <v>0</v>
      </c>
      <c r="K245" s="545">
        <f t="shared" si="5"/>
        <v>0</v>
      </c>
      <c r="L245" s="470">
        <v>0</v>
      </c>
      <c r="M245" s="545">
        <f t="shared" si="6"/>
        <v>0</v>
      </c>
      <c r="N245" s="520"/>
      <c r="O245" s="533"/>
      <c r="P245" s="418"/>
      <c r="Q245" s="482"/>
    </row>
    <row r="246" spans="1:17" s="419" customFormat="1" x14ac:dyDescent="0.3">
      <c r="A246" s="427"/>
      <c r="B246" s="469" t="s">
        <v>229</v>
      </c>
      <c r="C246" s="544"/>
      <c r="D246" s="544"/>
      <c r="E246" s="544"/>
      <c r="F246" s="544"/>
      <c r="G246" s="544"/>
      <c r="H246" s="544"/>
      <c r="I246" s="544"/>
      <c r="J246" s="469">
        <v>2</v>
      </c>
      <c r="K246" s="545">
        <f t="shared" si="5"/>
        <v>5.8309037900874635E-3</v>
      </c>
      <c r="L246" s="470">
        <v>12</v>
      </c>
      <c r="M246" s="545">
        <f t="shared" si="6"/>
        <v>9.7696002605226736E-4</v>
      </c>
      <c r="N246" s="520"/>
      <c r="O246" s="533"/>
      <c r="P246" s="418"/>
      <c r="Q246" s="482"/>
    </row>
    <row r="247" spans="1:17" s="419" customFormat="1" x14ac:dyDescent="0.3">
      <c r="A247" s="427"/>
      <c r="B247" s="469" t="s">
        <v>230</v>
      </c>
      <c r="C247" s="544"/>
      <c r="D247" s="544"/>
      <c r="E247" s="544"/>
      <c r="F247" s="544"/>
      <c r="G247" s="544"/>
      <c r="H247" s="544"/>
      <c r="I247" s="544"/>
      <c r="J247" s="469">
        <v>1</v>
      </c>
      <c r="K247" s="545">
        <f t="shared" si="5"/>
        <v>2.9154518950437317E-3</v>
      </c>
      <c r="L247" s="470">
        <v>12</v>
      </c>
      <c r="M247" s="545">
        <f t="shared" si="6"/>
        <v>9.7696002605226736E-4</v>
      </c>
      <c r="N247" s="520"/>
      <c r="O247" s="533"/>
      <c r="P247" s="418"/>
      <c r="Q247" s="482"/>
    </row>
    <row r="248" spans="1:17" s="419" customFormat="1" x14ac:dyDescent="0.3">
      <c r="A248" s="427"/>
      <c r="B248" s="469" t="s">
        <v>231</v>
      </c>
      <c r="C248" s="544"/>
      <c r="D248" s="544"/>
      <c r="E248" s="544"/>
      <c r="F248" s="544"/>
      <c r="G248" s="544"/>
      <c r="H248" s="544"/>
      <c r="I248" s="544"/>
      <c r="J248" s="469">
        <v>0</v>
      </c>
      <c r="K248" s="545">
        <f t="shared" si="5"/>
        <v>0</v>
      </c>
      <c r="L248" s="470">
        <v>0</v>
      </c>
      <c r="M248" s="545">
        <f t="shared" si="6"/>
        <v>0</v>
      </c>
      <c r="N248" s="520"/>
      <c r="O248" s="533"/>
      <c r="P248" s="418"/>
      <c r="Q248" s="482"/>
    </row>
    <row r="249" spans="1:17" s="419" customFormat="1" x14ac:dyDescent="0.3">
      <c r="A249" s="427"/>
      <c r="B249" s="469" t="s">
        <v>232</v>
      </c>
      <c r="C249" s="544"/>
      <c r="D249" s="544"/>
      <c r="E249" s="544"/>
      <c r="F249" s="544"/>
      <c r="G249" s="544"/>
      <c r="H249" s="544"/>
      <c r="I249" s="544"/>
      <c r="J249" s="469">
        <v>0</v>
      </c>
      <c r="K249" s="545">
        <f t="shared" si="5"/>
        <v>0</v>
      </c>
      <c r="L249" s="470">
        <v>0</v>
      </c>
      <c r="M249" s="545">
        <f t="shared" si="6"/>
        <v>0</v>
      </c>
      <c r="N249" s="548"/>
      <c r="O249" s="533"/>
      <c r="P249" s="418"/>
      <c r="Q249" s="482"/>
    </row>
    <row r="250" spans="1:17" s="419" customFormat="1" x14ac:dyDescent="0.3">
      <c r="A250" s="427"/>
      <c r="B250" s="469" t="s">
        <v>233</v>
      </c>
      <c r="C250" s="544"/>
      <c r="D250" s="544"/>
      <c r="E250" s="544"/>
      <c r="F250" s="544"/>
      <c r="G250" s="544"/>
      <c r="H250" s="544"/>
      <c r="I250" s="544"/>
      <c r="J250" s="469">
        <v>4</v>
      </c>
      <c r="K250" s="545">
        <f t="shared" si="5"/>
        <v>1.1661807580174927E-2</v>
      </c>
      <c r="L250" s="470">
        <v>85</v>
      </c>
      <c r="M250" s="545">
        <f t="shared" si="6"/>
        <v>6.9201335178702269E-3</v>
      </c>
      <c r="N250" s="548"/>
      <c r="O250" s="533"/>
      <c r="P250" s="418"/>
      <c r="Q250" s="482"/>
    </row>
    <row r="251" spans="1:17" s="419" customFormat="1" ht="18" customHeight="1" x14ac:dyDescent="0.3">
      <c r="A251" s="427"/>
      <c r="B251" s="469"/>
      <c r="C251" s="544"/>
      <c r="D251" s="544"/>
      <c r="E251" s="544"/>
      <c r="F251" s="544"/>
      <c r="G251" s="544"/>
      <c r="H251" s="544"/>
      <c r="I251" s="544"/>
      <c r="J251" s="469"/>
      <c r="K251" s="545"/>
      <c r="L251" s="470"/>
      <c r="M251" s="545"/>
      <c r="N251" s="520"/>
      <c r="O251" s="533"/>
      <c r="P251" s="418"/>
      <c r="Q251" s="482"/>
    </row>
    <row r="252" spans="1:17" s="419" customFormat="1" x14ac:dyDescent="0.3">
      <c r="A252" s="427"/>
      <c r="B252" s="428"/>
      <c r="C252" s="428"/>
      <c r="D252" s="546"/>
      <c r="E252" s="546"/>
      <c r="F252" s="546"/>
      <c r="G252" s="546"/>
      <c r="H252" s="546"/>
      <c r="I252" s="546"/>
      <c r="J252" s="469">
        <f>SUM(J238:J251)</f>
        <v>343</v>
      </c>
      <c r="K252" s="545">
        <f>SUM(K238:K251)</f>
        <v>0.99999999999999978</v>
      </c>
      <c r="L252" s="470">
        <f>SUM(L238:L251)</f>
        <v>12283</v>
      </c>
      <c r="M252" s="545">
        <f>SUM(M238:M251)</f>
        <v>1</v>
      </c>
      <c r="N252" s="428"/>
      <c r="O252" s="430"/>
      <c r="P252" s="418"/>
    </row>
    <row r="253" spans="1:17" x14ac:dyDescent="0.3">
      <c r="A253" s="404"/>
      <c r="B253" s="476"/>
      <c r="C253" s="476"/>
      <c r="D253" s="549"/>
      <c r="E253" s="549"/>
      <c r="F253" s="549"/>
      <c r="G253" s="549"/>
      <c r="H253" s="549"/>
      <c r="I253" s="549"/>
      <c r="J253" s="477"/>
      <c r="K253" s="550"/>
      <c r="L253" s="498"/>
      <c r="M253" s="550"/>
      <c r="N253" s="476"/>
      <c r="O253" s="476"/>
      <c r="P253" s="402"/>
    </row>
    <row r="254" spans="1:17" x14ac:dyDescent="0.3">
      <c r="A254" s="585"/>
      <c r="B254" s="599" t="s">
        <v>204</v>
      </c>
      <c r="C254" s="601"/>
      <c r="D254" s="601"/>
      <c r="E254" s="601"/>
      <c r="F254" s="601"/>
      <c r="G254" s="601"/>
      <c r="H254" s="601"/>
      <c r="I254" s="601"/>
      <c r="J254" s="619" t="s">
        <v>99</v>
      </c>
      <c r="K254" s="601" t="s">
        <v>100</v>
      </c>
      <c r="L254" s="615" t="s">
        <v>108</v>
      </c>
      <c r="M254" s="601" t="s">
        <v>100</v>
      </c>
      <c r="N254" s="591"/>
      <c r="O254" s="594"/>
      <c r="P254" s="402"/>
    </row>
    <row r="255" spans="1:17" s="419" customFormat="1" x14ac:dyDescent="0.3">
      <c r="A255" s="587"/>
      <c r="B255" s="597" t="s">
        <v>85</v>
      </c>
      <c r="C255" s="616"/>
      <c r="D255" s="616"/>
      <c r="E255" s="616"/>
      <c r="F255" s="616"/>
      <c r="G255" s="616"/>
      <c r="H255" s="616"/>
      <c r="I255" s="616"/>
      <c r="J255" s="597">
        <v>0</v>
      </c>
      <c r="K255" s="617">
        <v>0</v>
      </c>
      <c r="L255" s="598">
        <v>0</v>
      </c>
      <c r="M255" s="617">
        <v>0</v>
      </c>
      <c r="N255" s="588"/>
      <c r="O255" s="590"/>
      <c r="P255" s="418"/>
    </row>
    <row r="256" spans="1:17" s="419" customFormat="1" x14ac:dyDescent="0.3">
      <c r="A256" s="427"/>
      <c r="B256" s="469" t="s">
        <v>86</v>
      </c>
      <c r="C256" s="544"/>
      <c r="D256" s="544"/>
      <c r="E256" s="544"/>
      <c r="F256" s="544"/>
      <c r="G256" s="544"/>
      <c r="H256" s="544"/>
      <c r="I256" s="544"/>
      <c r="J256" s="469">
        <v>0</v>
      </c>
      <c r="K256" s="545">
        <v>0</v>
      </c>
      <c r="L256" s="470">
        <v>0</v>
      </c>
      <c r="M256" s="545">
        <v>0</v>
      </c>
      <c r="N256" s="428"/>
      <c r="O256" s="430"/>
      <c r="P256" s="418"/>
    </row>
    <row r="257" spans="1:16" s="419" customFormat="1" x14ac:dyDescent="0.3">
      <c r="A257" s="427"/>
      <c r="B257" s="469" t="s">
        <v>87</v>
      </c>
      <c r="C257" s="544"/>
      <c r="D257" s="544"/>
      <c r="E257" s="544"/>
      <c r="F257" s="544"/>
      <c r="G257" s="544"/>
      <c r="H257" s="544"/>
      <c r="I257" s="544"/>
      <c r="J257" s="469">
        <v>0</v>
      </c>
      <c r="K257" s="545">
        <v>0</v>
      </c>
      <c r="L257" s="470">
        <v>0</v>
      </c>
      <c r="M257" s="545">
        <v>0</v>
      </c>
      <c r="N257" s="428"/>
      <c r="O257" s="430"/>
      <c r="P257" s="418"/>
    </row>
    <row r="258" spans="1:16" s="419" customFormat="1" x14ac:dyDescent="0.3">
      <c r="A258" s="427"/>
      <c r="B258" s="469" t="s">
        <v>145</v>
      </c>
      <c r="C258" s="544"/>
      <c r="D258" s="544"/>
      <c r="E258" s="544"/>
      <c r="F258" s="544"/>
      <c r="G258" s="544"/>
      <c r="H258" s="544"/>
      <c r="I258" s="544"/>
      <c r="J258" s="469">
        <v>0</v>
      </c>
      <c r="K258" s="545">
        <v>0</v>
      </c>
      <c r="L258" s="470">
        <v>0</v>
      </c>
      <c r="M258" s="545">
        <v>0</v>
      </c>
      <c r="N258" s="428"/>
      <c r="O258" s="430"/>
      <c r="P258" s="418"/>
    </row>
    <row r="259" spans="1:16" s="419" customFormat="1" x14ac:dyDescent="0.3">
      <c r="A259" s="427"/>
      <c r="B259" s="469" t="s">
        <v>146</v>
      </c>
      <c r="C259" s="544"/>
      <c r="D259" s="544"/>
      <c r="E259" s="544"/>
      <c r="F259" s="544"/>
      <c r="G259" s="544"/>
      <c r="H259" s="544"/>
      <c r="I259" s="544"/>
      <c r="J259" s="469">
        <v>0</v>
      </c>
      <c r="K259" s="545">
        <v>0</v>
      </c>
      <c r="L259" s="470">
        <v>0</v>
      </c>
      <c r="M259" s="545">
        <v>0</v>
      </c>
      <c r="N259" s="428"/>
      <c r="O259" s="430"/>
      <c r="P259" s="418"/>
    </row>
    <row r="260" spans="1:16" s="419" customFormat="1" x14ac:dyDescent="0.3">
      <c r="A260" s="427"/>
      <c r="B260" s="469" t="s">
        <v>147</v>
      </c>
      <c r="C260" s="544"/>
      <c r="D260" s="544"/>
      <c r="E260" s="544"/>
      <c r="F260" s="544"/>
      <c r="G260" s="544"/>
      <c r="H260" s="544"/>
      <c r="I260" s="544"/>
      <c r="J260" s="469">
        <v>0</v>
      </c>
      <c r="K260" s="545">
        <v>0</v>
      </c>
      <c r="L260" s="470">
        <v>0</v>
      </c>
      <c r="M260" s="545">
        <v>0</v>
      </c>
      <c r="N260" s="428"/>
      <c r="O260" s="430"/>
      <c r="P260" s="418"/>
    </row>
    <row r="261" spans="1:16" s="419" customFormat="1" x14ac:dyDescent="0.3">
      <c r="A261" s="427"/>
      <c r="B261" s="469" t="s">
        <v>227</v>
      </c>
      <c r="C261" s="544"/>
      <c r="D261" s="544"/>
      <c r="E261" s="544"/>
      <c r="F261" s="544"/>
      <c r="G261" s="544"/>
      <c r="H261" s="544"/>
      <c r="I261" s="544"/>
      <c r="J261" s="469">
        <v>0</v>
      </c>
      <c r="K261" s="545">
        <v>0</v>
      </c>
      <c r="L261" s="470">
        <v>0</v>
      </c>
      <c r="M261" s="545">
        <v>0</v>
      </c>
      <c r="N261" s="428"/>
      <c r="O261" s="430"/>
      <c r="P261" s="418"/>
    </row>
    <row r="262" spans="1:16" s="419" customFormat="1" x14ac:dyDescent="0.3">
      <c r="A262" s="427"/>
      <c r="B262" s="469" t="s">
        <v>228</v>
      </c>
      <c r="C262" s="544"/>
      <c r="D262" s="544"/>
      <c r="E262" s="544"/>
      <c r="F262" s="544"/>
      <c r="G262" s="544"/>
      <c r="H262" s="544"/>
      <c r="I262" s="544"/>
      <c r="J262" s="469">
        <v>0</v>
      </c>
      <c r="K262" s="545">
        <v>0</v>
      </c>
      <c r="L262" s="470">
        <v>0</v>
      </c>
      <c r="M262" s="545">
        <v>0</v>
      </c>
      <c r="N262" s="428"/>
      <c r="O262" s="430"/>
      <c r="P262" s="418"/>
    </row>
    <row r="263" spans="1:16" s="419" customFormat="1" x14ac:dyDescent="0.3">
      <c r="A263" s="427"/>
      <c r="B263" s="469" t="s">
        <v>229</v>
      </c>
      <c r="C263" s="544"/>
      <c r="D263" s="544"/>
      <c r="E263" s="544"/>
      <c r="F263" s="544"/>
      <c r="G263" s="544"/>
      <c r="H263" s="544"/>
      <c r="I263" s="544"/>
      <c r="J263" s="469">
        <v>0</v>
      </c>
      <c r="K263" s="545">
        <v>0</v>
      </c>
      <c r="L263" s="470">
        <v>0</v>
      </c>
      <c r="M263" s="545">
        <v>0</v>
      </c>
      <c r="N263" s="428"/>
      <c r="O263" s="430"/>
      <c r="P263" s="418"/>
    </row>
    <row r="264" spans="1:16" s="419" customFormat="1" x14ac:dyDescent="0.3">
      <c r="A264" s="427"/>
      <c r="B264" s="469" t="s">
        <v>230</v>
      </c>
      <c r="C264" s="544"/>
      <c r="D264" s="544"/>
      <c r="E264" s="544"/>
      <c r="F264" s="544"/>
      <c r="G264" s="544"/>
      <c r="H264" s="544"/>
      <c r="I264" s="544"/>
      <c r="J264" s="469">
        <v>0</v>
      </c>
      <c r="K264" s="545">
        <v>0</v>
      </c>
      <c r="L264" s="470">
        <v>0</v>
      </c>
      <c r="M264" s="545">
        <v>0</v>
      </c>
      <c r="N264" s="428"/>
      <c r="O264" s="430"/>
      <c r="P264" s="418"/>
    </row>
    <row r="265" spans="1:16" s="419" customFormat="1" x14ac:dyDescent="0.3">
      <c r="A265" s="427"/>
      <c r="B265" s="469" t="s">
        <v>231</v>
      </c>
      <c r="C265" s="544"/>
      <c r="D265" s="544"/>
      <c r="E265" s="544"/>
      <c r="F265" s="544"/>
      <c r="G265" s="544"/>
      <c r="H265" s="544"/>
      <c r="I265" s="544"/>
      <c r="J265" s="469">
        <v>0</v>
      </c>
      <c r="K265" s="545">
        <v>0</v>
      </c>
      <c r="L265" s="470">
        <v>0</v>
      </c>
      <c r="M265" s="545">
        <v>0</v>
      </c>
      <c r="N265" s="428"/>
      <c r="O265" s="430"/>
      <c r="P265" s="418"/>
    </row>
    <row r="266" spans="1:16" s="419" customFormat="1" x14ac:dyDescent="0.3">
      <c r="A266" s="427"/>
      <c r="B266" s="469" t="s">
        <v>232</v>
      </c>
      <c r="C266" s="544"/>
      <c r="D266" s="544"/>
      <c r="E266" s="544"/>
      <c r="F266" s="544"/>
      <c r="G266" s="544"/>
      <c r="H266" s="544"/>
      <c r="I266" s="544"/>
      <c r="J266" s="469">
        <v>0</v>
      </c>
      <c r="K266" s="545">
        <v>0</v>
      </c>
      <c r="L266" s="470">
        <v>0</v>
      </c>
      <c r="M266" s="545">
        <v>0</v>
      </c>
      <c r="N266" s="428"/>
      <c r="O266" s="430"/>
      <c r="P266" s="418"/>
    </row>
    <row r="267" spans="1:16" s="419" customFormat="1" x14ac:dyDescent="0.3">
      <c r="A267" s="427"/>
      <c r="B267" s="469" t="s">
        <v>233</v>
      </c>
      <c r="C267" s="544"/>
      <c r="D267" s="544"/>
      <c r="E267" s="544"/>
      <c r="F267" s="544"/>
      <c r="G267" s="544"/>
      <c r="H267" s="544"/>
      <c r="I267" s="544"/>
      <c r="J267" s="469">
        <v>0</v>
      </c>
      <c r="K267" s="545">
        <v>0</v>
      </c>
      <c r="L267" s="470">
        <v>0</v>
      </c>
      <c r="M267" s="545">
        <v>0</v>
      </c>
      <c r="N267" s="428"/>
      <c r="O267" s="430"/>
      <c r="P267" s="418"/>
    </row>
    <row r="268" spans="1:16" s="419" customFormat="1" x14ac:dyDescent="0.3">
      <c r="A268" s="427"/>
      <c r="B268" s="469"/>
      <c r="C268" s="544"/>
      <c r="D268" s="544"/>
      <c r="E268" s="544"/>
      <c r="F268" s="544"/>
      <c r="G268" s="544"/>
      <c r="H268" s="544"/>
      <c r="I268" s="544"/>
      <c r="J268" s="469"/>
      <c r="K268" s="545"/>
      <c r="L268" s="470"/>
      <c r="M268" s="545"/>
      <c r="N268" s="428"/>
      <c r="O268" s="430"/>
      <c r="P268" s="418"/>
    </row>
    <row r="269" spans="1:16" s="419" customFormat="1" x14ac:dyDescent="0.3">
      <c r="A269" s="427"/>
      <c r="B269" s="428"/>
      <c r="C269" s="428"/>
      <c r="D269" s="546"/>
      <c r="E269" s="546"/>
      <c r="F269" s="546"/>
      <c r="G269" s="546"/>
      <c r="H269" s="546"/>
      <c r="I269" s="546"/>
      <c r="J269" s="469">
        <f>SUM(J255:J268)</f>
        <v>0</v>
      </c>
      <c r="K269" s="545">
        <f>SUM(K255:K268)</f>
        <v>0</v>
      </c>
      <c r="L269" s="470">
        <f>SUM(L255:L268)</f>
        <v>0</v>
      </c>
      <c r="M269" s="545">
        <f>SUM(M255:M268)</f>
        <v>0</v>
      </c>
      <c r="N269" s="428"/>
      <c r="O269" s="430"/>
      <c r="P269" s="418"/>
    </row>
    <row r="270" spans="1:16" x14ac:dyDescent="0.3">
      <c r="A270" s="404"/>
      <c r="B270" s="476"/>
      <c r="C270" s="476"/>
      <c r="D270" s="549"/>
      <c r="E270" s="549"/>
      <c r="F270" s="549"/>
      <c r="G270" s="549"/>
      <c r="H270" s="549"/>
      <c r="I270" s="549"/>
      <c r="J270" s="477"/>
      <c r="K270" s="550"/>
      <c r="L270" s="498"/>
      <c r="M270" s="550"/>
      <c r="N270" s="476"/>
      <c r="O270" s="476"/>
      <c r="P270" s="402"/>
    </row>
    <row r="271" spans="1:16" x14ac:dyDescent="0.3">
      <c r="A271" s="585"/>
      <c r="B271" s="599" t="s">
        <v>150</v>
      </c>
      <c r="C271" s="591"/>
      <c r="D271" s="621"/>
      <c r="E271" s="621"/>
      <c r="F271" s="621"/>
      <c r="G271" s="621"/>
      <c r="H271" s="621"/>
      <c r="I271" s="621"/>
      <c r="J271" s="619" t="s">
        <v>99</v>
      </c>
      <c r="K271" s="601" t="s">
        <v>100</v>
      </c>
      <c r="L271" s="615" t="s">
        <v>108</v>
      </c>
      <c r="M271" s="601" t="s">
        <v>100</v>
      </c>
      <c r="N271" s="591"/>
      <c r="O271" s="594"/>
      <c r="P271" s="402"/>
    </row>
    <row r="272" spans="1:16" s="419" customFormat="1" x14ac:dyDescent="0.3">
      <c r="A272" s="587"/>
      <c r="B272" s="597" t="s">
        <v>85</v>
      </c>
      <c r="C272" s="588"/>
      <c r="D272" s="622"/>
      <c r="E272" s="622"/>
      <c r="F272" s="622"/>
      <c r="G272" s="622"/>
      <c r="H272" s="622"/>
      <c r="I272" s="622"/>
      <c r="J272" s="597">
        <v>0</v>
      </c>
      <c r="K272" s="617">
        <v>0</v>
      </c>
      <c r="L272" s="598">
        <v>0</v>
      </c>
      <c r="M272" s="617">
        <v>0</v>
      </c>
      <c r="N272" s="588"/>
      <c r="O272" s="590"/>
      <c r="P272" s="418"/>
    </row>
    <row r="273" spans="1:16" s="419" customFormat="1" x14ac:dyDescent="0.3">
      <c r="A273" s="427"/>
      <c r="B273" s="469" t="s">
        <v>86</v>
      </c>
      <c r="C273" s="428"/>
      <c r="D273" s="546"/>
      <c r="E273" s="546"/>
      <c r="F273" s="546"/>
      <c r="G273" s="546"/>
      <c r="H273" s="546"/>
      <c r="I273" s="546"/>
      <c r="J273" s="469">
        <v>0</v>
      </c>
      <c r="K273" s="545">
        <v>0</v>
      </c>
      <c r="L273" s="470">
        <v>0</v>
      </c>
      <c r="M273" s="545">
        <v>0</v>
      </c>
      <c r="N273" s="428"/>
      <c r="O273" s="430"/>
      <c r="P273" s="418"/>
    </row>
    <row r="274" spans="1:16" s="419" customFormat="1" x14ac:dyDescent="0.3">
      <c r="A274" s="427"/>
      <c r="B274" s="469" t="s">
        <v>87</v>
      </c>
      <c r="C274" s="428"/>
      <c r="D274" s="546"/>
      <c r="E274" s="546"/>
      <c r="F274" s="546"/>
      <c r="G274" s="546"/>
      <c r="H274" s="546"/>
      <c r="I274" s="546"/>
      <c r="J274" s="469">
        <v>0</v>
      </c>
      <c r="K274" s="545">
        <v>0</v>
      </c>
      <c r="L274" s="470">
        <v>0</v>
      </c>
      <c r="M274" s="545">
        <v>0</v>
      </c>
      <c r="N274" s="428"/>
      <c r="O274" s="430"/>
      <c r="P274" s="418"/>
    </row>
    <row r="275" spans="1:16" s="419" customFormat="1" x14ac:dyDescent="0.3">
      <c r="A275" s="427"/>
      <c r="B275" s="469" t="s">
        <v>145</v>
      </c>
      <c r="C275" s="428"/>
      <c r="D275" s="546"/>
      <c r="E275" s="546"/>
      <c r="F275" s="546"/>
      <c r="G275" s="546"/>
      <c r="H275" s="546"/>
      <c r="I275" s="546"/>
      <c r="J275" s="469">
        <v>0</v>
      </c>
      <c r="K275" s="545">
        <v>0</v>
      </c>
      <c r="L275" s="470">
        <v>0</v>
      </c>
      <c r="M275" s="545">
        <v>0</v>
      </c>
      <c r="N275" s="428"/>
      <c r="O275" s="430"/>
      <c r="P275" s="418"/>
    </row>
    <row r="276" spans="1:16" s="419" customFormat="1" x14ac:dyDescent="0.3">
      <c r="A276" s="427"/>
      <c r="B276" s="469" t="s">
        <v>146</v>
      </c>
      <c r="C276" s="428"/>
      <c r="D276" s="546"/>
      <c r="E276" s="546"/>
      <c r="F276" s="546"/>
      <c r="G276" s="546"/>
      <c r="H276" s="546"/>
      <c r="I276" s="546"/>
      <c r="J276" s="469">
        <v>0</v>
      </c>
      <c r="K276" s="545">
        <v>0</v>
      </c>
      <c r="L276" s="470">
        <v>0</v>
      </c>
      <c r="M276" s="545">
        <v>0</v>
      </c>
      <c r="N276" s="428"/>
      <c r="O276" s="430"/>
      <c r="P276" s="418"/>
    </row>
    <row r="277" spans="1:16" s="419" customFormat="1" x14ac:dyDescent="0.3">
      <c r="A277" s="427"/>
      <c r="B277" s="469" t="s">
        <v>147</v>
      </c>
      <c r="C277" s="428"/>
      <c r="D277" s="546"/>
      <c r="E277" s="546"/>
      <c r="F277" s="546"/>
      <c r="G277" s="546"/>
      <c r="H277" s="546"/>
      <c r="I277" s="546"/>
      <c r="J277" s="469">
        <v>0</v>
      </c>
      <c r="K277" s="545">
        <v>0</v>
      </c>
      <c r="L277" s="470">
        <v>0</v>
      </c>
      <c r="M277" s="545">
        <v>0</v>
      </c>
      <c r="N277" s="428"/>
      <c r="O277" s="430"/>
      <c r="P277" s="418"/>
    </row>
    <row r="278" spans="1:16" s="419" customFormat="1" x14ac:dyDescent="0.3">
      <c r="A278" s="427"/>
      <c r="B278" s="469" t="s">
        <v>227</v>
      </c>
      <c r="C278" s="428"/>
      <c r="D278" s="546"/>
      <c r="E278" s="546"/>
      <c r="F278" s="546"/>
      <c r="G278" s="546"/>
      <c r="H278" s="546"/>
      <c r="I278" s="546"/>
      <c r="J278" s="469">
        <v>0</v>
      </c>
      <c r="K278" s="545">
        <v>0</v>
      </c>
      <c r="L278" s="470">
        <v>0</v>
      </c>
      <c r="M278" s="545">
        <v>0</v>
      </c>
      <c r="N278" s="428"/>
      <c r="O278" s="430"/>
      <c r="P278" s="418"/>
    </row>
    <row r="279" spans="1:16" s="419" customFormat="1" x14ac:dyDescent="0.3">
      <c r="A279" s="427"/>
      <c r="B279" s="469" t="s">
        <v>228</v>
      </c>
      <c r="C279" s="428"/>
      <c r="D279" s="546"/>
      <c r="E279" s="546"/>
      <c r="F279" s="546"/>
      <c r="G279" s="546"/>
      <c r="H279" s="546"/>
      <c r="I279" s="546"/>
      <c r="J279" s="469">
        <v>0</v>
      </c>
      <c r="K279" s="545">
        <v>0</v>
      </c>
      <c r="L279" s="470">
        <v>0</v>
      </c>
      <c r="M279" s="545">
        <v>0</v>
      </c>
      <c r="N279" s="428"/>
      <c r="O279" s="430"/>
      <c r="P279" s="418"/>
    </row>
    <row r="280" spans="1:16" s="419" customFormat="1" x14ac:dyDescent="0.3">
      <c r="A280" s="427"/>
      <c r="B280" s="469" t="s">
        <v>229</v>
      </c>
      <c r="C280" s="428"/>
      <c r="D280" s="546"/>
      <c r="E280" s="546"/>
      <c r="F280" s="546"/>
      <c r="G280" s="546"/>
      <c r="H280" s="546"/>
      <c r="I280" s="546"/>
      <c r="J280" s="469">
        <v>0</v>
      </c>
      <c r="K280" s="545">
        <v>0</v>
      </c>
      <c r="L280" s="470">
        <v>0</v>
      </c>
      <c r="M280" s="545">
        <v>0</v>
      </c>
      <c r="N280" s="428"/>
      <c r="O280" s="430"/>
      <c r="P280" s="418"/>
    </row>
    <row r="281" spans="1:16" s="419" customFormat="1" x14ac:dyDescent="0.3">
      <c r="A281" s="427"/>
      <c r="B281" s="469" t="s">
        <v>230</v>
      </c>
      <c r="C281" s="428"/>
      <c r="D281" s="546"/>
      <c r="E281" s="546"/>
      <c r="F281" s="546"/>
      <c r="G281" s="546"/>
      <c r="H281" s="546"/>
      <c r="I281" s="546"/>
      <c r="J281" s="469">
        <v>1</v>
      </c>
      <c r="K281" s="545">
        <v>1</v>
      </c>
      <c r="L281" s="470">
        <v>109</v>
      </c>
      <c r="M281" s="545">
        <v>1</v>
      </c>
      <c r="N281" s="428"/>
      <c r="O281" s="430"/>
      <c r="P281" s="418"/>
    </row>
    <row r="282" spans="1:16" s="419" customFormat="1" x14ac:dyDescent="0.3">
      <c r="A282" s="427"/>
      <c r="B282" s="469" t="s">
        <v>231</v>
      </c>
      <c r="C282" s="428"/>
      <c r="D282" s="546"/>
      <c r="E282" s="546"/>
      <c r="F282" s="546"/>
      <c r="G282" s="546"/>
      <c r="H282" s="546"/>
      <c r="I282" s="546"/>
      <c r="J282" s="469">
        <v>0</v>
      </c>
      <c r="K282" s="545">
        <v>0</v>
      </c>
      <c r="L282" s="470">
        <v>0</v>
      </c>
      <c r="M282" s="545">
        <v>0</v>
      </c>
      <c r="N282" s="428"/>
      <c r="O282" s="430"/>
      <c r="P282" s="418"/>
    </row>
    <row r="283" spans="1:16" s="419" customFormat="1" x14ac:dyDescent="0.3">
      <c r="A283" s="427"/>
      <c r="B283" s="469" t="s">
        <v>232</v>
      </c>
      <c r="C283" s="428"/>
      <c r="D283" s="546"/>
      <c r="E283" s="546"/>
      <c r="F283" s="546"/>
      <c r="G283" s="546"/>
      <c r="H283" s="546"/>
      <c r="I283" s="546"/>
      <c r="J283" s="469">
        <v>0</v>
      </c>
      <c r="K283" s="545">
        <v>0</v>
      </c>
      <c r="L283" s="470">
        <v>0</v>
      </c>
      <c r="M283" s="545">
        <v>0</v>
      </c>
      <c r="N283" s="428"/>
      <c r="O283" s="430"/>
      <c r="P283" s="418"/>
    </row>
    <row r="284" spans="1:16" s="419" customFormat="1" x14ac:dyDescent="0.3">
      <c r="A284" s="427"/>
      <c r="B284" s="469" t="s">
        <v>233</v>
      </c>
      <c r="C284" s="428"/>
      <c r="D284" s="546"/>
      <c r="E284" s="546"/>
      <c r="F284" s="546"/>
      <c r="G284" s="546"/>
      <c r="H284" s="546"/>
      <c r="I284" s="546"/>
      <c r="J284" s="469">
        <v>0</v>
      </c>
      <c r="K284" s="545">
        <v>0</v>
      </c>
      <c r="L284" s="470">
        <v>0</v>
      </c>
      <c r="M284" s="545">
        <v>0</v>
      </c>
      <c r="N284" s="428"/>
      <c r="O284" s="430"/>
      <c r="P284" s="418"/>
    </row>
    <row r="285" spans="1:16" s="419" customFormat="1" x14ac:dyDescent="0.3">
      <c r="A285" s="427"/>
      <c r="B285" s="469"/>
      <c r="C285" s="428"/>
      <c r="D285" s="546"/>
      <c r="E285" s="546"/>
      <c r="F285" s="546"/>
      <c r="G285" s="546"/>
      <c r="H285" s="546"/>
      <c r="I285" s="546"/>
      <c r="J285" s="469"/>
      <c r="K285" s="545"/>
      <c r="L285" s="470"/>
      <c r="M285" s="545"/>
      <c r="N285" s="428"/>
      <c r="O285" s="430"/>
      <c r="P285" s="418"/>
    </row>
    <row r="286" spans="1:16" s="419" customFormat="1" x14ac:dyDescent="0.3">
      <c r="A286" s="427"/>
      <c r="B286" s="428" t="s">
        <v>114</v>
      </c>
      <c r="C286" s="428"/>
      <c r="D286" s="546"/>
      <c r="E286" s="546"/>
      <c r="F286" s="546"/>
      <c r="G286" s="546"/>
      <c r="H286" s="546"/>
      <c r="I286" s="546"/>
      <c r="J286" s="469">
        <f>SUM(J272:J284)</f>
        <v>1</v>
      </c>
      <c r="K286" s="545">
        <f>SUM(K272:K284)</f>
        <v>1</v>
      </c>
      <c r="L286" s="470">
        <f>SUM(L272:L284)</f>
        <v>109</v>
      </c>
      <c r="M286" s="545">
        <f>SUM(M272:M284)</f>
        <v>1</v>
      </c>
      <c r="N286" s="428"/>
      <c r="O286" s="430"/>
      <c r="P286" s="418"/>
    </row>
    <row r="287" spans="1:16" s="419" customFormat="1" x14ac:dyDescent="0.3">
      <c r="A287" s="427"/>
      <c r="B287" s="428"/>
      <c r="C287" s="428"/>
      <c r="D287" s="546"/>
      <c r="E287" s="546"/>
      <c r="F287" s="546"/>
      <c r="G287" s="546"/>
      <c r="H287" s="546"/>
      <c r="I287" s="546"/>
      <c r="J287" s="469"/>
      <c r="K287" s="545"/>
      <c r="L287" s="470"/>
      <c r="M287" s="545"/>
      <c r="N287" s="428"/>
      <c r="O287" s="430"/>
      <c r="P287" s="418"/>
    </row>
    <row r="288" spans="1:16" s="419" customFormat="1" x14ac:dyDescent="0.3">
      <c r="A288" s="427"/>
      <c r="B288" s="433" t="s">
        <v>151</v>
      </c>
      <c r="C288" s="428"/>
      <c r="D288" s="546"/>
      <c r="E288" s="546"/>
      <c r="F288" s="546"/>
      <c r="G288" s="546"/>
      <c r="H288" s="546"/>
      <c r="I288" s="546"/>
      <c r="J288" s="551">
        <f>J286+J269+J252</f>
        <v>344</v>
      </c>
      <c r="K288" s="545"/>
      <c r="L288" s="552">
        <f>+L286+L269+L252</f>
        <v>12392</v>
      </c>
      <c r="M288" s="545"/>
      <c r="N288" s="428"/>
      <c r="O288" s="430"/>
      <c r="P288" s="418"/>
    </row>
    <row r="289" spans="1:16" s="419" customFormat="1" x14ac:dyDescent="0.3">
      <c r="A289" s="415"/>
      <c r="B289" s="458"/>
      <c r="C289" s="458"/>
      <c r="D289" s="553"/>
      <c r="E289" s="553"/>
      <c r="F289" s="553"/>
      <c r="G289" s="553"/>
      <c r="H289" s="553"/>
      <c r="I289" s="553"/>
      <c r="J289" s="553"/>
      <c r="K289" s="553"/>
      <c r="L289" s="554"/>
      <c r="M289" s="553"/>
      <c r="N289" s="458"/>
      <c r="O289" s="458"/>
      <c r="P289" s="418"/>
    </row>
    <row r="290" spans="1:16" s="419" customFormat="1" x14ac:dyDescent="0.3">
      <c r="A290" s="415"/>
      <c r="B290" s="416"/>
      <c r="C290" s="416"/>
      <c r="D290" s="555"/>
      <c r="E290" s="555"/>
      <c r="F290" s="555"/>
      <c r="G290" s="555"/>
      <c r="H290" s="555"/>
      <c r="I290" s="555"/>
      <c r="J290" s="555"/>
      <c r="K290" s="555"/>
      <c r="L290" s="556"/>
      <c r="M290" s="555"/>
      <c r="N290" s="416"/>
      <c r="O290" s="416"/>
      <c r="P290" s="418"/>
    </row>
    <row r="291" spans="1:16" s="419" customFormat="1" x14ac:dyDescent="0.3">
      <c r="A291" s="415"/>
      <c r="B291" s="414" t="s">
        <v>88</v>
      </c>
      <c r="C291" s="416"/>
      <c r="D291" s="422" t="s">
        <v>94</v>
      </c>
      <c r="E291" s="416"/>
      <c r="F291" s="414" t="s">
        <v>96</v>
      </c>
      <c r="G291" s="416"/>
      <c r="H291" s="416"/>
      <c r="I291" s="416"/>
      <c r="J291" s="422"/>
      <c r="K291" s="416"/>
      <c r="L291" s="414"/>
      <c r="M291" s="416"/>
      <c r="N291" s="416"/>
      <c r="O291" s="416"/>
      <c r="P291" s="418"/>
    </row>
    <row r="292" spans="1:16" s="419" customFormat="1" x14ac:dyDescent="0.3">
      <c r="A292" s="415"/>
      <c r="B292" s="416"/>
      <c r="C292" s="416"/>
      <c r="D292" s="416"/>
      <c r="E292" s="416"/>
      <c r="F292" s="416"/>
      <c r="G292" s="416"/>
      <c r="H292" s="416"/>
      <c r="I292" s="416"/>
      <c r="J292" s="416"/>
      <c r="K292" s="416"/>
      <c r="L292" s="416"/>
      <c r="M292" s="416"/>
      <c r="N292" s="416"/>
      <c r="O292" s="416"/>
      <c r="P292" s="418"/>
    </row>
    <row r="293" spans="1:16" s="419" customFormat="1" x14ac:dyDescent="0.3">
      <c r="A293" s="557"/>
      <c r="B293" s="414" t="s">
        <v>273</v>
      </c>
      <c r="C293" s="414"/>
      <c r="D293" s="558" t="s">
        <v>240</v>
      </c>
      <c r="E293" s="558"/>
      <c r="F293" s="623" t="s">
        <v>295</v>
      </c>
      <c r="G293" s="414"/>
      <c r="H293" s="416"/>
      <c r="I293" s="416"/>
      <c r="J293" s="558"/>
      <c r="K293" s="414"/>
      <c r="L293" s="414"/>
      <c r="M293" s="416"/>
      <c r="N293" s="416"/>
      <c r="O293" s="416"/>
      <c r="P293" s="418"/>
    </row>
    <row r="294" spans="1:16" s="419" customFormat="1" x14ac:dyDescent="0.3">
      <c r="A294" s="415"/>
      <c r="B294" s="414" t="s">
        <v>274</v>
      </c>
      <c r="C294" s="414"/>
      <c r="D294" s="558" t="s">
        <v>137</v>
      </c>
      <c r="E294" s="414"/>
      <c r="F294" s="623" t="s">
        <v>296</v>
      </c>
      <c r="G294" s="416"/>
      <c r="H294" s="416"/>
      <c r="I294" s="416"/>
      <c r="J294" s="558"/>
      <c r="K294" s="414"/>
      <c r="L294" s="414"/>
      <c r="M294" s="416"/>
      <c r="N294" s="416"/>
      <c r="O294" s="416"/>
      <c r="P294" s="418"/>
    </row>
    <row r="295" spans="1:16" s="419" customFormat="1" x14ac:dyDescent="0.3">
      <c r="A295" s="415"/>
      <c r="B295" s="414"/>
      <c r="C295" s="414"/>
      <c r="D295" s="416"/>
      <c r="E295" s="416"/>
      <c r="F295" s="416"/>
      <c r="G295" s="416"/>
      <c r="H295" s="416"/>
      <c r="I295" s="416"/>
      <c r="J295" s="416"/>
      <c r="K295" s="416"/>
      <c r="L295" s="416"/>
      <c r="M295" s="416"/>
      <c r="N295" s="416"/>
      <c r="O295" s="416"/>
      <c r="P295" s="418"/>
    </row>
    <row r="296" spans="1:16" s="419" customFormat="1" x14ac:dyDescent="0.3">
      <c r="A296" s="415"/>
      <c r="B296" s="414"/>
      <c r="C296" s="414"/>
      <c r="D296" s="416"/>
      <c r="E296" s="416"/>
      <c r="F296" s="416"/>
      <c r="G296" s="416"/>
      <c r="H296" s="416"/>
      <c r="I296" s="416"/>
      <c r="J296" s="416"/>
      <c r="K296" s="416"/>
      <c r="L296" s="416"/>
      <c r="M296" s="416"/>
      <c r="N296" s="416"/>
      <c r="O296" s="416"/>
      <c r="P296" s="418"/>
    </row>
    <row r="297" spans="1:16" s="419" customFormat="1" ht="18.600000000000001" thickBot="1" x14ac:dyDescent="0.4">
      <c r="A297" s="415"/>
      <c r="B297" s="559" t="str">
        <f>B182</f>
        <v>FF7 INVESTOR REPORT QUARTER ENDING AUGUST 2018</v>
      </c>
      <c r="C297" s="414"/>
      <c r="D297" s="416"/>
      <c r="E297" s="416"/>
      <c r="F297" s="416"/>
      <c r="G297" s="416"/>
      <c r="H297" s="416"/>
      <c r="I297" s="416"/>
      <c r="J297" s="416"/>
      <c r="K297" s="416"/>
      <c r="L297" s="416"/>
      <c r="M297" s="416"/>
      <c r="N297" s="416"/>
      <c r="O297" s="416"/>
      <c r="P297" s="418"/>
    </row>
    <row r="298" spans="1:16" x14ac:dyDescent="0.3">
      <c r="A298" s="560"/>
      <c r="B298" s="560"/>
      <c r="C298" s="560"/>
      <c r="D298" s="560"/>
      <c r="E298" s="560"/>
      <c r="F298" s="560"/>
      <c r="G298" s="560"/>
      <c r="H298" s="560"/>
      <c r="I298" s="560"/>
      <c r="J298" s="560"/>
      <c r="K298" s="560"/>
      <c r="L298" s="560"/>
      <c r="M298" s="560"/>
      <c r="N298" s="560"/>
      <c r="O298" s="560"/>
    </row>
  </sheetData>
  <hyperlinks>
    <hyperlink ref="K9" r:id="rId1"/>
    <hyperlink ref="K218" r:id="rId2"/>
  </hyperlinks>
  <printOptions horizontalCentered="1" verticalCentered="1"/>
  <pageMargins left="0.19685039370078741" right="0.19685039370078741" top="0.27559055118110237" bottom="0.27559055118110237" header="0" footer="0"/>
  <pageSetup scale="53" orientation="landscape" r:id="rId3"/>
  <headerFooter alignWithMargins="0"/>
  <rowBreaks count="3" manualBreakCount="3">
    <brk id="52" max="14" man="1"/>
    <brk id="115" max="14" man="1"/>
    <brk id="182" max="14" man="1"/>
  </rowBreaks>
  <colBreaks count="1" manualBreakCount="1">
    <brk id="15" max="298" man="1"/>
  </col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IV298"/>
  <sheetViews>
    <sheetView showGridLines="0" showOutlineSymbols="0" zoomScale="80" zoomScaleNormal="80" workbookViewId="0"/>
  </sheetViews>
  <sheetFormatPr defaultColWidth="9.6328125" defaultRowHeight="15.6" x14ac:dyDescent="0.3"/>
  <cols>
    <col min="1" max="1" width="4" style="403" customWidth="1"/>
    <col min="2" max="2" width="75.1796875" style="403" customWidth="1"/>
    <col min="3" max="3" width="2.1796875" style="403" customWidth="1"/>
    <col min="4" max="4" width="17.90625" style="403" customWidth="1"/>
    <col min="5" max="5" width="2.36328125" style="403" customWidth="1"/>
    <col min="6" max="6" width="13.08984375" style="403" customWidth="1"/>
    <col min="7" max="7" width="2.36328125" style="403" customWidth="1"/>
    <col min="8" max="8" width="15.54296875" style="403" customWidth="1"/>
    <col min="9" max="9" width="2.1796875" style="403" customWidth="1"/>
    <col min="10" max="10" width="15.54296875" style="403" customWidth="1"/>
    <col min="11" max="12" width="12.6328125" style="403" customWidth="1"/>
    <col min="13" max="13" width="7.81640625" style="403" customWidth="1"/>
    <col min="14" max="14" width="14.6328125" style="403" customWidth="1"/>
    <col min="15" max="15" width="11.81640625" style="403" customWidth="1"/>
    <col min="16" max="16384" width="9.6328125" style="403"/>
  </cols>
  <sheetData>
    <row r="1" spans="1:16" ht="21" x14ac:dyDescent="0.4">
      <c r="A1" s="399"/>
      <c r="B1" s="400" t="s">
        <v>184</v>
      </c>
      <c r="C1" s="401"/>
      <c r="D1" s="401"/>
      <c r="E1" s="401"/>
      <c r="F1" s="401"/>
      <c r="G1" s="401"/>
      <c r="H1" s="401"/>
      <c r="I1" s="401"/>
      <c r="J1" s="401"/>
      <c r="K1" s="401"/>
      <c r="L1" s="401"/>
      <c r="M1" s="401"/>
      <c r="N1" s="401"/>
      <c r="O1" s="401"/>
      <c r="P1" s="402"/>
    </row>
    <row r="2" spans="1:16" x14ac:dyDescent="0.3">
      <c r="A2" s="404"/>
      <c r="B2" s="405"/>
      <c r="C2" s="406"/>
      <c r="D2" s="406"/>
      <c r="E2" s="406"/>
      <c r="F2" s="406"/>
      <c r="G2" s="406"/>
      <c r="H2" s="406"/>
      <c r="I2" s="406"/>
      <c r="J2" s="406"/>
      <c r="K2" s="406"/>
      <c r="L2" s="406"/>
      <c r="M2" s="406"/>
      <c r="N2" s="406"/>
      <c r="O2" s="406"/>
      <c r="P2" s="402"/>
    </row>
    <row r="3" spans="1:16" x14ac:dyDescent="0.3">
      <c r="A3" s="407"/>
      <c r="B3" s="408" t="s">
        <v>185</v>
      </c>
      <c r="C3" s="406"/>
      <c r="D3" s="406"/>
      <c r="E3" s="406"/>
      <c r="F3" s="406"/>
      <c r="G3" s="406"/>
      <c r="H3" s="406"/>
      <c r="I3" s="406"/>
      <c r="J3" s="406"/>
      <c r="K3" s="406"/>
      <c r="L3" s="406"/>
      <c r="M3" s="406"/>
      <c r="N3" s="406"/>
      <c r="O3" s="406"/>
      <c r="P3" s="402"/>
    </row>
    <row r="4" spans="1:16" x14ac:dyDescent="0.3">
      <c r="A4" s="404"/>
      <c r="B4" s="405"/>
      <c r="C4" s="406"/>
      <c r="D4" s="406"/>
      <c r="E4" s="406"/>
      <c r="F4" s="406"/>
      <c r="G4" s="406"/>
      <c r="H4" s="406"/>
      <c r="I4" s="406"/>
      <c r="J4" s="406"/>
      <c r="K4" s="406"/>
      <c r="L4" s="406"/>
      <c r="M4" s="406"/>
      <c r="N4" s="406"/>
      <c r="O4" s="406"/>
      <c r="P4" s="402"/>
    </row>
    <row r="5" spans="1:16" x14ac:dyDescent="0.3">
      <c r="A5" s="404"/>
      <c r="B5" s="409" t="s">
        <v>243</v>
      </c>
      <c r="C5" s="406"/>
      <c r="D5" s="406"/>
      <c r="E5" s="406"/>
      <c r="F5" s="406"/>
      <c r="G5" s="406"/>
      <c r="H5" s="406"/>
      <c r="I5" s="406"/>
      <c r="J5" s="406"/>
      <c r="K5" s="406"/>
      <c r="L5" s="406"/>
      <c r="M5" s="406"/>
      <c r="N5" s="406"/>
      <c r="O5" s="406"/>
      <c r="P5" s="402"/>
    </row>
    <row r="6" spans="1:16" x14ac:dyDescent="0.3">
      <c r="A6" s="404"/>
      <c r="B6" s="409" t="s">
        <v>187</v>
      </c>
      <c r="C6" s="406"/>
      <c r="D6" s="406"/>
      <c r="E6" s="406"/>
      <c r="F6" s="406"/>
      <c r="G6" s="406"/>
      <c r="H6" s="406"/>
      <c r="I6" s="406"/>
      <c r="J6" s="406"/>
      <c r="K6" s="406"/>
      <c r="L6" s="406"/>
      <c r="M6" s="406"/>
      <c r="N6" s="406"/>
      <c r="O6" s="406"/>
      <c r="P6" s="402"/>
    </row>
    <row r="7" spans="1:16" x14ac:dyDescent="0.3">
      <c r="A7" s="404"/>
      <c r="B7" s="409" t="s">
        <v>188</v>
      </c>
      <c r="C7" s="406"/>
      <c r="D7" s="406"/>
      <c r="E7" s="406"/>
      <c r="F7" s="406"/>
      <c r="G7" s="406"/>
      <c r="H7" s="406"/>
      <c r="I7" s="406"/>
      <c r="J7" s="406"/>
      <c r="K7" s="406"/>
      <c r="L7" s="406"/>
      <c r="M7" s="406"/>
      <c r="N7" s="406"/>
      <c r="O7" s="406"/>
      <c r="P7" s="402"/>
    </row>
    <row r="8" spans="1:16" x14ac:dyDescent="0.3">
      <c r="A8" s="404"/>
      <c r="B8" s="410"/>
      <c r="C8" s="406"/>
      <c r="D8" s="406"/>
      <c r="E8" s="406"/>
      <c r="F8" s="406"/>
      <c r="G8" s="406"/>
      <c r="H8" s="406"/>
      <c r="I8" s="406"/>
      <c r="J8" s="406"/>
      <c r="K8" s="406"/>
      <c r="L8" s="406"/>
      <c r="M8" s="406"/>
      <c r="N8" s="406"/>
      <c r="O8" s="406"/>
      <c r="P8" s="402"/>
    </row>
    <row r="9" spans="1:16" ht="18" x14ac:dyDescent="0.35">
      <c r="A9" s="404"/>
      <c r="B9" s="411" t="s">
        <v>153</v>
      </c>
      <c r="C9" s="406"/>
      <c r="D9" s="412"/>
      <c r="E9" s="406"/>
      <c r="F9" s="412"/>
      <c r="G9" s="406"/>
      <c r="H9" s="406"/>
      <c r="I9" s="406"/>
      <c r="J9" s="406"/>
      <c r="K9" s="398" t="s">
        <v>293</v>
      </c>
      <c r="L9" s="406"/>
      <c r="M9" s="406"/>
      <c r="N9" s="406"/>
      <c r="O9" s="406"/>
      <c r="P9" s="402"/>
    </row>
    <row r="10" spans="1:16" x14ac:dyDescent="0.3">
      <c r="A10" s="404"/>
      <c r="B10" s="410"/>
      <c r="C10" s="413"/>
      <c r="D10" s="406"/>
      <c r="E10" s="406"/>
      <c r="F10" s="406"/>
      <c r="G10" s="406"/>
      <c r="H10" s="406"/>
      <c r="I10" s="406"/>
      <c r="J10" s="406"/>
      <c r="K10" s="406"/>
      <c r="L10" s="406"/>
      <c r="M10" s="406"/>
      <c r="N10" s="406"/>
      <c r="O10" s="406"/>
      <c r="P10" s="402"/>
    </row>
    <row r="11" spans="1:16" x14ac:dyDescent="0.3">
      <c r="A11" s="404"/>
      <c r="B11" s="414" t="s">
        <v>0</v>
      </c>
      <c r="C11" s="406"/>
      <c r="D11" s="406"/>
      <c r="E11" s="406"/>
      <c r="F11" s="406"/>
      <c r="G11" s="406"/>
      <c r="H11" s="406"/>
      <c r="I11" s="406"/>
      <c r="J11" s="406"/>
      <c r="K11" s="406"/>
      <c r="L11" s="406"/>
      <c r="M11" s="406"/>
      <c r="N11" s="406"/>
      <c r="O11" s="406"/>
      <c r="P11" s="402"/>
    </row>
    <row r="12" spans="1:16" ht="16.2" thickBot="1" x14ac:dyDescent="0.35">
      <c r="A12" s="404"/>
      <c r="B12" s="413"/>
      <c r="C12" s="406"/>
      <c r="D12" s="406"/>
      <c r="E12" s="406"/>
      <c r="F12" s="406"/>
      <c r="G12" s="406"/>
      <c r="H12" s="406"/>
      <c r="I12" s="406"/>
      <c r="J12" s="406"/>
      <c r="K12" s="406"/>
      <c r="L12" s="406"/>
      <c r="M12" s="406"/>
      <c r="N12" s="406"/>
      <c r="O12" s="406"/>
      <c r="P12" s="402"/>
    </row>
    <row r="13" spans="1:16" x14ac:dyDescent="0.3">
      <c r="A13" s="399"/>
      <c r="B13" s="401"/>
      <c r="C13" s="401"/>
      <c r="D13" s="401"/>
      <c r="E13" s="401"/>
      <c r="F13" s="401"/>
      <c r="G13" s="401"/>
      <c r="H13" s="401"/>
      <c r="I13" s="401"/>
      <c r="J13" s="401"/>
      <c r="K13" s="401"/>
      <c r="L13" s="401"/>
      <c r="M13" s="401"/>
      <c r="N13" s="401"/>
      <c r="O13" s="401"/>
      <c r="P13" s="402"/>
    </row>
    <row r="14" spans="1:16" s="419" customFormat="1" x14ac:dyDescent="0.3">
      <c r="A14" s="415"/>
      <c r="B14" s="414" t="s">
        <v>1</v>
      </c>
      <c r="C14" s="416"/>
      <c r="D14" s="416"/>
      <c r="E14" s="416"/>
      <c r="F14" s="416"/>
      <c r="G14" s="416"/>
      <c r="H14" s="416"/>
      <c r="I14" s="416"/>
      <c r="J14" s="416"/>
      <c r="K14" s="416"/>
      <c r="L14" s="416"/>
      <c r="M14" s="416"/>
      <c r="N14" s="417" t="s">
        <v>186</v>
      </c>
      <c r="O14" s="416"/>
      <c r="P14" s="418"/>
    </row>
    <row r="15" spans="1:16" s="419" customFormat="1" x14ac:dyDescent="0.3">
      <c r="A15" s="415"/>
      <c r="B15" s="414" t="s">
        <v>2</v>
      </c>
      <c r="C15" s="416"/>
      <c r="D15" s="420"/>
      <c r="E15" s="420"/>
      <c r="F15" s="420"/>
      <c r="G15" s="420"/>
      <c r="H15" s="420"/>
      <c r="I15" s="420"/>
      <c r="J15" s="420" t="s">
        <v>101</v>
      </c>
      <c r="K15" s="421">
        <v>4.07E-2</v>
      </c>
      <c r="L15" s="422" t="s">
        <v>133</v>
      </c>
      <c r="M15" s="421">
        <v>0.95930000000000004</v>
      </c>
      <c r="N15" s="417"/>
      <c r="O15" s="416"/>
      <c r="P15" s="418"/>
    </row>
    <row r="16" spans="1:16" s="419" customFormat="1" x14ac:dyDescent="0.3">
      <c r="A16" s="415"/>
      <c r="B16" s="414" t="s">
        <v>3</v>
      </c>
      <c r="C16" s="416"/>
      <c r="D16" s="420"/>
      <c r="E16" s="420"/>
      <c r="F16" s="420"/>
      <c r="G16" s="420"/>
      <c r="H16" s="420"/>
      <c r="I16" s="420"/>
      <c r="J16" s="420" t="s">
        <v>101</v>
      </c>
      <c r="K16" s="421">
        <v>0.16020000000000001</v>
      </c>
      <c r="L16" s="422" t="s">
        <v>133</v>
      </c>
      <c r="M16" s="421">
        <v>0.83979999999999999</v>
      </c>
      <c r="N16" s="417"/>
      <c r="O16" s="416"/>
      <c r="P16" s="418"/>
    </row>
    <row r="17" spans="1:16" s="419" customFormat="1" x14ac:dyDescent="0.3">
      <c r="A17" s="415"/>
      <c r="B17" s="414" t="s">
        <v>4</v>
      </c>
      <c r="C17" s="416"/>
      <c r="D17" s="416"/>
      <c r="E17" s="416"/>
      <c r="F17" s="416"/>
      <c r="G17" s="416"/>
      <c r="H17" s="416"/>
      <c r="I17" s="416"/>
      <c r="J17" s="416"/>
      <c r="K17" s="416"/>
      <c r="L17" s="416"/>
      <c r="M17" s="416"/>
      <c r="N17" s="423">
        <v>39107</v>
      </c>
      <c r="O17" s="416"/>
      <c r="P17" s="418"/>
    </row>
    <row r="18" spans="1:16" s="419" customFormat="1" x14ac:dyDescent="0.3">
      <c r="A18" s="415"/>
      <c r="B18" s="414" t="s">
        <v>5</v>
      </c>
      <c r="C18" s="416"/>
      <c r="D18" s="416"/>
      <c r="E18" s="416"/>
      <c r="F18" s="416"/>
      <c r="G18" s="416"/>
      <c r="H18" s="416"/>
      <c r="I18" s="416"/>
      <c r="J18" s="416"/>
      <c r="K18" s="416"/>
      <c r="L18" s="416"/>
      <c r="M18" s="416"/>
      <c r="N18" s="423">
        <v>43454</v>
      </c>
      <c r="O18" s="416"/>
      <c r="P18" s="418"/>
    </row>
    <row r="19" spans="1:16" s="419" customFormat="1" x14ac:dyDescent="0.3">
      <c r="A19" s="415"/>
      <c r="B19" s="416"/>
      <c r="C19" s="416"/>
      <c r="D19" s="416"/>
      <c r="E19" s="416"/>
      <c r="F19" s="416"/>
      <c r="G19" s="416"/>
      <c r="H19" s="416"/>
      <c r="I19" s="416"/>
      <c r="J19" s="416"/>
      <c r="K19" s="416"/>
      <c r="L19" s="416"/>
      <c r="M19" s="416"/>
      <c r="N19" s="424"/>
      <c r="O19" s="416"/>
      <c r="P19" s="418"/>
    </row>
    <row r="20" spans="1:16" s="419" customFormat="1" x14ac:dyDescent="0.3">
      <c r="A20" s="415"/>
      <c r="B20" s="425" t="s">
        <v>6</v>
      </c>
      <c r="C20" s="416"/>
      <c r="D20" s="416"/>
      <c r="E20" s="416"/>
      <c r="F20" s="416"/>
      <c r="G20" s="416"/>
      <c r="H20" s="416"/>
      <c r="I20" s="416"/>
      <c r="J20" s="416"/>
      <c r="K20" s="416"/>
      <c r="L20" s="424" t="s">
        <v>102</v>
      </c>
      <c r="M20" s="416"/>
      <c r="N20" s="416"/>
      <c r="O20" s="416"/>
      <c r="P20" s="418"/>
    </row>
    <row r="21" spans="1:16" x14ac:dyDescent="0.3">
      <c r="A21" s="404"/>
      <c r="B21" s="406"/>
      <c r="C21" s="406"/>
      <c r="D21" s="406"/>
      <c r="E21" s="406"/>
      <c r="F21" s="406"/>
      <c r="G21" s="406"/>
      <c r="H21" s="406"/>
      <c r="I21" s="406"/>
      <c r="J21" s="406"/>
      <c r="K21" s="406"/>
      <c r="L21" s="406"/>
      <c r="M21" s="406"/>
      <c r="N21" s="426"/>
      <c r="O21" s="406"/>
      <c r="P21" s="402"/>
    </row>
    <row r="22" spans="1:16" x14ac:dyDescent="0.3">
      <c r="A22" s="585"/>
      <c r="B22" s="591"/>
      <c r="C22" s="592"/>
      <c r="D22" s="592" t="s">
        <v>103</v>
      </c>
      <c r="E22" s="592"/>
      <c r="F22" s="592" t="s">
        <v>189</v>
      </c>
      <c r="G22" s="592"/>
      <c r="H22" s="592" t="s">
        <v>190</v>
      </c>
      <c r="I22" s="592"/>
      <c r="J22" s="592"/>
      <c r="K22" s="593"/>
      <c r="L22" s="593"/>
      <c r="M22" s="591"/>
      <c r="N22" s="591"/>
      <c r="O22" s="594"/>
      <c r="P22" s="402"/>
    </row>
    <row r="23" spans="1:16" s="419" customFormat="1" x14ac:dyDescent="0.3">
      <c r="A23" s="587"/>
      <c r="B23" s="588" t="s">
        <v>7</v>
      </c>
      <c r="C23" s="589"/>
      <c r="D23" s="589" t="s">
        <v>134</v>
      </c>
      <c r="E23" s="589"/>
      <c r="F23" s="589" t="s">
        <v>152</v>
      </c>
      <c r="G23" s="589"/>
      <c r="H23" s="589" t="s">
        <v>135</v>
      </c>
      <c r="I23" s="589"/>
      <c r="J23" s="589"/>
      <c r="K23" s="589"/>
      <c r="L23" s="589"/>
      <c r="M23" s="588"/>
      <c r="N23" s="588"/>
      <c r="O23" s="590"/>
      <c r="P23" s="418"/>
    </row>
    <row r="24" spans="1:16" s="419" customFormat="1" x14ac:dyDescent="0.3">
      <c r="A24" s="431"/>
      <c r="B24" s="428" t="s">
        <v>162</v>
      </c>
      <c r="C24" s="432"/>
      <c r="D24" s="429" t="s">
        <v>134</v>
      </c>
      <c r="E24" s="429"/>
      <c r="F24" s="429" t="s">
        <v>152</v>
      </c>
      <c r="G24" s="429"/>
      <c r="H24" s="429" t="s">
        <v>135</v>
      </c>
      <c r="I24" s="429"/>
      <c r="J24" s="429"/>
      <c r="K24" s="432"/>
      <c r="L24" s="429"/>
      <c r="M24" s="428"/>
      <c r="N24" s="428"/>
      <c r="O24" s="430"/>
      <c r="P24" s="418"/>
    </row>
    <row r="25" spans="1:16" s="419" customFormat="1" x14ac:dyDescent="0.3">
      <c r="A25" s="427"/>
      <c r="B25" s="433" t="s">
        <v>163</v>
      </c>
      <c r="C25" s="429"/>
      <c r="D25" s="432" t="s">
        <v>134</v>
      </c>
      <c r="E25" s="432"/>
      <c r="F25" s="432" t="s">
        <v>267</v>
      </c>
      <c r="G25" s="432"/>
      <c r="H25" s="432" t="s">
        <v>267</v>
      </c>
      <c r="I25" s="432"/>
      <c r="J25" s="432"/>
      <c r="K25" s="429"/>
      <c r="L25" s="434"/>
      <c r="M25" s="428"/>
      <c r="N25" s="428"/>
      <c r="O25" s="430"/>
      <c r="P25" s="418"/>
    </row>
    <row r="26" spans="1:16" s="419" customFormat="1" x14ac:dyDescent="0.3">
      <c r="A26" s="427"/>
      <c r="B26" s="433" t="s">
        <v>164</v>
      </c>
      <c r="C26" s="429"/>
      <c r="D26" s="432" t="s">
        <v>134</v>
      </c>
      <c r="E26" s="432"/>
      <c r="F26" s="432" t="s">
        <v>152</v>
      </c>
      <c r="G26" s="432"/>
      <c r="H26" s="432" t="s">
        <v>135</v>
      </c>
      <c r="I26" s="432"/>
      <c r="J26" s="432"/>
      <c r="K26" s="429"/>
      <c r="L26" s="434"/>
      <c r="M26" s="428"/>
      <c r="N26" s="428"/>
      <c r="O26" s="430"/>
      <c r="P26" s="418"/>
    </row>
    <row r="27" spans="1:16" s="419" customFormat="1" x14ac:dyDescent="0.3">
      <c r="A27" s="427"/>
      <c r="B27" s="428" t="s">
        <v>8</v>
      </c>
      <c r="C27" s="435"/>
      <c r="D27" s="429" t="s">
        <v>218</v>
      </c>
      <c r="E27" s="429"/>
      <c r="F27" s="429" t="s">
        <v>219</v>
      </c>
      <c r="G27" s="429"/>
      <c r="H27" s="429" t="s">
        <v>220</v>
      </c>
      <c r="I27" s="429"/>
      <c r="J27" s="429"/>
      <c r="K27" s="436"/>
      <c r="L27" s="436"/>
      <c r="M27" s="435"/>
      <c r="N27" s="436"/>
      <c r="O27" s="437"/>
      <c r="P27" s="418"/>
    </row>
    <row r="28" spans="1:16" s="419" customFormat="1" x14ac:dyDescent="0.3">
      <c r="A28" s="431"/>
      <c r="B28" s="428" t="s">
        <v>129</v>
      </c>
      <c r="C28" s="438"/>
      <c r="D28" s="436">
        <v>260500</v>
      </c>
      <c r="E28" s="436"/>
      <c r="F28" s="436">
        <v>4050</v>
      </c>
      <c r="G28" s="436"/>
      <c r="H28" s="436">
        <v>4050</v>
      </c>
      <c r="I28" s="436"/>
      <c r="J28" s="439"/>
      <c r="K28" s="440"/>
      <c r="L28" s="440"/>
      <c r="M28" s="438"/>
      <c r="N28" s="436">
        <f>SUM(D28:H28)</f>
        <v>268600</v>
      </c>
      <c r="O28" s="437"/>
      <c r="P28" s="418"/>
    </row>
    <row r="29" spans="1:16" s="419" customFormat="1" x14ac:dyDescent="0.3">
      <c r="A29" s="427"/>
      <c r="B29" s="428" t="s">
        <v>128</v>
      </c>
      <c r="C29" s="435"/>
      <c r="D29" s="436">
        <f>D28*D32</f>
        <v>9195.2852999999996</v>
      </c>
      <c r="E29" s="436"/>
      <c r="F29" s="436">
        <f>F28*F32</f>
        <v>1598.20047</v>
      </c>
      <c r="G29" s="436"/>
      <c r="H29" s="436">
        <f>H28*H32</f>
        <v>1598.20047</v>
      </c>
      <c r="I29" s="436"/>
      <c r="J29" s="439"/>
      <c r="K29" s="436"/>
      <c r="L29" s="436"/>
      <c r="M29" s="435"/>
      <c r="N29" s="436">
        <f>SUM(D29:H29)</f>
        <v>12391.686239999999</v>
      </c>
      <c r="O29" s="437"/>
      <c r="P29" s="418"/>
    </row>
    <row r="30" spans="1:16" s="419" customFormat="1" x14ac:dyDescent="0.3">
      <c r="A30" s="427"/>
      <c r="B30" s="433" t="s">
        <v>130</v>
      </c>
      <c r="C30" s="435"/>
      <c r="D30" s="440">
        <f>D28*D31</f>
        <v>7662.9721999999992</v>
      </c>
      <c r="E30" s="440"/>
      <c r="F30" s="440">
        <f>F28*F31</f>
        <v>1598.20047</v>
      </c>
      <c r="G30" s="440"/>
      <c r="H30" s="440">
        <f>H28*H31</f>
        <v>1598.20047</v>
      </c>
      <c r="I30" s="440"/>
      <c r="J30" s="441"/>
      <c r="K30" s="436"/>
      <c r="L30" s="436"/>
      <c r="M30" s="435"/>
      <c r="N30" s="440">
        <f>SUM(D30:I30)+1</f>
        <v>10860.37314</v>
      </c>
      <c r="O30" s="437"/>
      <c r="P30" s="418"/>
    </row>
    <row r="31" spans="1:16" s="569" customFormat="1" x14ac:dyDescent="0.3">
      <c r="A31" s="561"/>
      <c r="B31" s="562" t="s">
        <v>126</v>
      </c>
      <c r="C31" s="563"/>
      <c r="D31" s="564">
        <v>2.9416399999999999E-2</v>
      </c>
      <c r="E31" s="564"/>
      <c r="F31" s="564">
        <v>0.39461740000000001</v>
      </c>
      <c r="G31" s="564"/>
      <c r="H31" s="564">
        <v>0.39461740000000001</v>
      </c>
      <c r="I31" s="565"/>
      <c r="J31" s="565"/>
      <c r="K31" s="566"/>
      <c r="L31" s="566"/>
      <c r="M31" s="563"/>
      <c r="N31" s="563"/>
      <c r="O31" s="567"/>
      <c r="P31" s="568"/>
    </row>
    <row r="32" spans="1:16" s="569" customFormat="1" x14ac:dyDescent="0.3">
      <c r="A32" s="561"/>
      <c r="B32" s="562" t="s">
        <v>127</v>
      </c>
      <c r="C32" s="563"/>
      <c r="D32" s="564">
        <v>3.5298599999999999E-2</v>
      </c>
      <c r="E32" s="564"/>
      <c r="F32" s="564">
        <v>0.39461740000000001</v>
      </c>
      <c r="G32" s="564"/>
      <c r="H32" s="564">
        <v>0.39461740000000001</v>
      </c>
      <c r="I32" s="565"/>
      <c r="J32" s="565"/>
      <c r="K32" s="570"/>
      <c r="L32" s="571"/>
      <c r="M32" s="563"/>
      <c r="N32" s="570"/>
      <c r="O32" s="567"/>
      <c r="P32" s="568"/>
    </row>
    <row r="33" spans="1:17" s="419" customFormat="1" x14ac:dyDescent="0.3">
      <c r="A33" s="427"/>
      <c r="B33" s="428" t="s">
        <v>9</v>
      </c>
      <c r="C33" s="428"/>
      <c r="D33" s="434" t="s">
        <v>193</v>
      </c>
      <c r="E33" s="434"/>
      <c r="F33" s="434" t="s">
        <v>195</v>
      </c>
      <c r="G33" s="434"/>
      <c r="H33" s="434" t="s">
        <v>197</v>
      </c>
      <c r="I33" s="434"/>
      <c r="J33" s="434"/>
      <c r="K33" s="446"/>
      <c r="L33" s="447"/>
      <c r="M33" s="428"/>
      <c r="N33" s="428"/>
      <c r="O33" s="430"/>
      <c r="P33" s="418"/>
    </row>
    <row r="34" spans="1:17" s="419" customFormat="1" x14ac:dyDescent="0.3">
      <c r="A34" s="427"/>
      <c r="B34" s="428" t="s">
        <v>10</v>
      </c>
      <c r="C34" s="428"/>
      <c r="D34" s="447">
        <v>1.03731E-2</v>
      </c>
      <c r="E34" s="446"/>
      <c r="F34" s="447">
        <v>1.1573099999999999E-2</v>
      </c>
      <c r="G34" s="446"/>
      <c r="H34" s="447">
        <v>1.3573099999999999E-2</v>
      </c>
      <c r="I34" s="446"/>
      <c r="J34" s="447"/>
      <c r="K34" s="446"/>
      <c r="L34" s="447"/>
      <c r="M34" s="428"/>
      <c r="N34" s="446">
        <f>SUMPRODUCT(D34:H34,D29:H29)/N29</f>
        <v>1.094058387037921E-2</v>
      </c>
      <c r="O34" s="430"/>
      <c r="P34" s="418"/>
    </row>
    <row r="35" spans="1:17" s="419" customFormat="1" x14ac:dyDescent="0.3">
      <c r="A35" s="427"/>
      <c r="B35" s="428" t="s">
        <v>11</v>
      </c>
      <c r="C35" s="428"/>
      <c r="D35" s="447">
        <v>8.7075E-3</v>
      </c>
      <c r="E35" s="446"/>
      <c r="F35" s="447">
        <v>9.9074999999999996E-3</v>
      </c>
      <c r="G35" s="446"/>
      <c r="H35" s="447">
        <v>1.19075E-2</v>
      </c>
      <c r="I35" s="447"/>
      <c r="J35" s="447"/>
      <c r="K35" s="446"/>
      <c r="L35" s="447"/>
      <c r="M35" s="428"/>
      <c r="N35" s="446" t="s">
        <v>165</v>
      </c>
      <c r="O35" s="430"/>
      <c r="P35" s="418"/>
    </row>
    <row r="36" spans="1:17" s="419" customFormat="1" x14ac:dyDescent="0.3">
      <c r="A36" s="427"/>
      <c r="B36" s="428" t="s">
        <v>12</v>
      </c>
      <c r="C36" s="428"/>
      <c r="D36" s="448">
        <v>40617</v>
      </c>
      <c r="E36" s="448"/>
      <c r="F36" s="448">
        <v>40617</v>
      </c>
      <c r="G36" s="448"/>
      <c r="H36" s="448">
        <v>40617</v>
      </c>
      <c r="I36" s="448"/>
      <c r="J36" s="448"/>
      <c r="K36" s="434"/>
      <c r="L36" s="434"/>
      <c r="M36" s="428"/>
      <c r="N36" s="428"/>
      <c r="O36" s="430"/>
      <c r="P36" s="418"/>
    </row>
    <row r="37" spans="1:17" s="419" customFormat="1" x14ac:dyDescent="0.3">
      <c r="A37" s="427"/>
      <c r="B37" s="428" t="s">
        <v>13</v>
      </c>
      <c r="C37" s="428"/>
      <c r="D37" s="448">
        <v>40983</v>
      </c>
      <c r="E37" s="434"/>
      <c r="F37" s="448">
        <v>40983</v>
      </c>
      <c r="G37" s="434"/>
      <c r="H37" s="448">
        <v>40983</v>
      </c>
      <c r="I37" s="434"/>
      <c r="J37" s="448"/>
      <c r="K37" s="434"/>
      <c r="L37" s="434"/>
      <c r="M37" s="428"/>
      <c r="N37" s="428"/>
      <c r="O37" s="430"/>
      <c r="P37" s="418"/>
    </row>
    <row r="38" spans="1:17" s="419" customFormat="1" x14ac:dyDescent="0.3">
      <c r="A38" s="427"/>
      <c r="B38" s="428" t="s">
        <v>118</v>
      </c>
      <c r="C38" s="428"/>
      <c r="D38" s="434" t="s">
        <v>193</v>
      </c>
      <c r="E38" s="434"/>
      <c r="F38" s="434" t="s">
        <v>195</v>
      </c>
      <c r="G38" s="434"/>
      <c r="H38" s="434" t="s">
        <v>197</v>
      </c>
      <c r="I38" s="434"/>
      <c r="J38" s="434"/>
      <c r="K38" s="449"/>
      <c r="L38" s="449"/>
      <c r="M38" s="449"/>
      <c r="N38" s="449"/>
      <c r="O38" s="430"/>
      <c r="P38" s="418"/>
    </row>
    <row r="39" spans="1:17" s="419" customFormat="1" x14ac:dyDescent="0.3">
      <c r="A39" s="427"/>
      <c r="B39" s="428"/>
      <c r="C39" s="428"/>
      <c r="D39" s="434"/>
      <c r="E39" s="434"/>
      <c r="F39" s="447"/>
      <c r="G39" s="434"/>
      <c r="H39" s="447"/>
      <c r="I39" s="434"/>
      <c r="J39" s="434"/>
      <c r="K39" s="428"/>
      <c r="L39" s="428"/>
      <c r="M39" s="428"/>
      <c r="N39" s="446" t="s">
        <v>165</v>
      </c>
      <c r="O39" s="430"/>
      <c r="P39" s="418"/>
    </row>
    <row r="40" spans="1:17" s="419" customFormat="1" x14ac:dyDescent="0.3">
      <c r="A40" s="427"/>
      <c r="B40" s="428" t="s">
        <v>156</v>
      </c>
      <c r="C40" s="428"/>
      <c r="D40" s="434"/>
      <c r="E40" s="434"/>
      <c r="F40" s="434"/>
      <c r="G40" s="434"/>
      <c r="H40" s="434"/>
      <c r="I40" s="434"/>
      <c r="J40" s="434"/>
      <c r="K40" s="428"/>
      <c r="L40" s="428"/>
      <c r="M40" s="428"/>
      <c r="N40" s="446">
        <f>SUM(F28:H28)/SUM(D28)</f>
        <v>3.109404990403071E-2</v>
      </c>
      <c r="O40" s="430"/>
      <c r="P40" s="418"/>
    </row>
    <row r="41" spans="1:17" s="419" customFormat="1" x14ac:dyDescent="0.3">
      <c r="A41" s="427"/>
      <c r="B41" s="428" t="s">
        <v>157</v>
      </c>
      <c r="C41" s="428"/>
      <c r="D41" s="428"/>
      <c r="E41" s="428"/>
      <c r="F41" s="428"/>
      <c r="G41" s="428"/>
      <c r="H41" s="428"/>
      <c r="I41" s="428"/>
      <c r="J41" s="428"/>
      <c r="K41" s="428"/>
      <c r="L41" s="428"/>
      <c r="M41" s="428"/>
      <c r="N41" s="446">
        <f>SUM(F30:H30)/SUM(D30)</f>
        <v>0.4171228678083943</v>
      </c>
      <c r="O41" s="430"/>
      <c r="P41" s="418"/>
    </row>
    <row r="42" spans="1:17" s="419" customFormat="1" x14ac:dyDescent="0.3">
      <c r="A42" s="427"/>
      <c r="B42" s="428" t="s">
        <v>158</v>
      </c>
      <c r="C42" s="428"/>
      <c r="D42" s="428"/>
      <c r="E42" s="428"/>
      <c r="F42" s="428"/>
      <c r="G42" s="428"/>
      <c r="H42" s="428"/>
      <c r="I42" s="428"/>
      <c r="J42" s="428"/>
      <c r="K42" s="428"/>
      <c r="L42" s="434" t="s">
        <v>103</v>
      </c>
      <c r="M42" s="434" t="s">
        <v>109</v>
      </c>
      <c r="N42" s="436">
        <f>+N28/2-SUM(F28:H28)</f>
        <v>126200</v>
      </c>
      <c r="O42" s="430"/>
      <c r="P42" s="418"/>
    </row>
    <row r="43" spans="1:17" s="419" customFormat="1" x14ac:dyDescent="0.3">
      <c r="A43" s="427"/>
      <c r="B43" s="428"/>
      <c r="C43" s="428"/>
      <c r="D43" s="428"/>
      <c r="E43" s="428"/>
      <c r="F43" s="428"/>
      <c r="G43" s="428"/>
      <c r="H43" s="428"/>
      <c r="I43" s="428"/>
      <c r="J43" s="428"/>
      <c r="K43" s="428"/>
      <c r="L43" s="428"/>
      <c r="M43" s="428"/>
      <c r="N43" s="450"/>
      <c r="O43" s="430"/>
      <c r="P43" s="418"/>
    </row>
    <row r="44" spans="1:17" s="419" customFormat="1" x14ac:dyDescent="0.3">
      <c r="A44" s="427"/>
      <c r="B44" s="428" t="s">
        <v>198</v>
      </c>
      <c r="C44" s="428"/>
      <c r="D44" s="428"/>
      <c r="E44" s="428"/>
      <c r="F44" s="428"/>
      <c r="G44" s="428"/>
      <c r="H44" s="428"/>
      <c r="I44" s="428"/>
      <c r="J44" s="428"/>
      <c r="K44" s="428"/>
      <c r="L44" s="434"/>
      <c r="M44" s="434"/>
      <c r="N44" s="451" t="s">
        <v>111</v>
      </c>
      <c r="O44" s="430"/>
      <c r="P44" s="418"/>
    </row>
    <row r="45" spans="1:17" s="419" customFormat="1" x14ac:dyDescent="0.3">
      <c r="A45" s="427"/>
      <c r="B45" s="433" t="s">
        <v>168</v>
      </c>
      <c r="C45" s="433"/>
      <c r="D45" s="433"/>
      <c r="E45" s="433"/>
      <c r="F45" s="433"/>
      <c r="G45" s="433"/>
      <c r="H45" s="433"/>
      <c r="I45" s="433"/>
      <c r="J45" s="433"/>
      <c r="K45" s="433"/>
      <c r="L45" s="452"/>
      <c r="M45" s="452"/>
      <c r="N45" s="453">
        <v>43451</v>
      </c>
      <c r="O45" s="430"/>
      <c r="P45" s="418"/>
    </row>
    <row r="46" spans="1:17" s="419" customFormat="1" x14ac:dyDescent="0.3">
      <c r="A46" s="427"/>
      <c r="B46" s="428" t="s">
        <v>119</v>
      </c>
      <c r="C46" s="428"/>
      <c r="D46" s="454"/>
      <c r="E46" s="454"/>
      <c r="F46" s="454"/>
      <c r="G46" s="454"/>
      <c r="H46" s="454"/>
      <c r="I46" s="454"/>
      <c r="J46" s="428">
        <f>+N46-L46+1</f>
        <v>94</v>
      </c>
      <c r="K46" s="454"/>
      <c r="L46" s="455">
        <v>43266</v>
      </c>
      <c r="M46" s="456"/>
      <c r="N46" s="455">
        <v>43359</v>
      </c>
      <c r="O46" s="430"/>
      <c r="P46" s="418"/>
    </row>
    <row r="47" spans="1:17" s="419" customFormat="1" x14ac:dyDescent="0.3">
      <c r="A47" s="427"/>
      <c r="B47" s="428" t="s">
        <v>120</v>
      </c>
      <c r="C47" s="428"/>
      <c r="D47" s="428"/>
      <c r="E47" s="428"/>
      <c r="F47" s="428"/>
      <c r="G47" s="428"/>
      <c r="H47" s="428"/>
      <c r="I47" s="428"/>
      <c r="J47" s="428">
        <f>+N47-L47+1</f>
        <v>91</v>
      </c>
      <c r="K47" s="428"/>
      <c r="L47" s="455">
        <v>43360</v>
      </c>
      <c r="M47" s="456"/>
      <c r="N47" s="455">
        <v>43450</v>
      </c>
      <c r="O47" s="430"/>
      <c r="P47" s="418"/>
    </row>
    <row r="48" spans="1:17" s="419" customFormat="1" x14ac:dyDescent="0.3">
      <c r="A48" s="427"/>
      <c r="B48" s="428" t="s">
        <v>199</v>
      </c>
      <c r="C48" s="428"/>
      <c r="D48" s="428"/>
      <c r="E48" s="428"/>
      <c r="F48" s="428"/>
      <c r="G48" s="428"/>
      <c r="H48" s="428"/>
      <c r="I48" s="428"/>
      <c r="J48" s="428"/>
      <c r="K48" s="428"/>
      <c r="L48" s="455"/>
      <c r="M48" s="456"/>
      <c r="N48" s="455" t="s">
        <v>143</v>
      </c>
      <c r="O48" s="430"/>
      <c r="P48" s="418"/>
      <c r="Q48" s="457"/>
    </row>
    <row r="49" spans="1:16" s="419" customFormat="1" x14ac:dyDescent="0.3">
      <c r="A49" s="427"/>
      <c r="B49" s="428" t="s">
        <v>14</v>
      </c>
      <c r="C49" s="428"/>
      <c r="D49" s="428"/>
      <c r="E49" s="428"/>
      <c r="F49" s="428"/>
      <c r="G49" s="428"/>
      <c r="H49" s="428"/>
      <c r="I49" s="428"/>
      <c r="J49" s="428"/>
      <c r="K49" s="428"/>
      <c r="L49" s="455"/>
      <c r="M49" s="456"/>
      <c r="N49" s="455">
        <v>43437</v>
      </c>
      <c r="O49" s="430"/>
      <c r="P49" s="418"/>
    </row>
    <row r="50" spans="1:16" s="419" customFormat="1" x14ac:dyDescent="0.3">
      <c r="A50" s="415"/>
      <c r="B50" s="458"/>
      <c r="C50" s="458"/>
      <c r="D50" s="458"/>
      <c r="E50" s="458"/>
      <c r="F50" s="458"/>
      <c r="G50" s="458"/>
      <c r="H50" s="458"/>
      <c r="I50" s="458"/>
      <c r="J50" s="458"/>
      <c r="K50" s="458"/>
      <c r="L50" s="459"/>
      <c r="M50" s="460"/>
      <c r="N50" s="459"/>
      <c r="O50" s="458"/>
      <c r="P50" s="418"/>
    </row>
    <row r="51" spans="1:16" s="419" customFormat="1" x14ac:dyDescent="0.3">
      <c r="A51" s="415"/>
      <c r="B51" s="416"/>
      <c r="C51" s="416"/>
      <c r="D51" s="416"/>
      <c r="E51" s="416"/>
      <c r="F51" s="416"/>
      <c r="G51" s="416"/>
      <c r="H51" s="416"/>
      <c r="I51" s="416"/>
      <c r="J51" s="416"/>
      <c r="K51" s="416"/>
      <c r="L51" s="461"/>
      <c r="M51" s="462"/>
      <c r="N51" s="461"/>
      <c r="O51" s="416"/>
      <c r="P51" s="418"/>
    </row>
    <row r="52" spans="1:16" s="419" customFormat="1" ht="18.600000000000001" thickBot="1" x14ac:dyDescent="0.4">
      <c r="A52" s="463"/>
      <c r="B52" s="464" t="s">
        <v>301</v>
      </c>
      <c r="C52" s="465"/>
      <c r="D52" s="465"/>
      <c r="E52" s="465"/>
      <c r="F52" s="465"/>
      <c r="G52" s="465"/>
      <c r="H52" s="465"/>
      <c r="I52" s="465"/>
      <c r="J52" s="465"/>
      <c r="K52" s="465"/>
      <c r="L52" s="465"/>
      <c r="M52" s="465"/>
      <c r="N52" s="466"/>
      <c r="O52" s="467"/>
      <c r="P52" s="418"/>
    </row>
    <row r="53" spans="1:16" x14ac:dyDescent="0.3">
      <c r="A53" s="585"/>
      <c r="B53" s="595" t="s">
        <v>15</v>
      </c>
      <c r="C53" s="586"/>
      <c r="D53" s="586"/>
      <c r="E53" s="586"/>
      <c r="F53" s="586"/>
      <c r="G53" s="586"/>
      <c r="H53" s="586"/>
      <c r="I53" s="586"/>
      <c r="J53" s="586"/>
      <c r="K53" s="586"/>
      <c r="L53" s="586"/>
      <c r="M53" s="586"/>
      <c r="N53" s="596"/>
      <c r="O53" s="586"/>
      <c r="P53" s="402"/>
    </row>
    <row r="54" spans="1:16" x14ac:dyDescent="0.3">
      <c r="A54" s="404"/>
      <c r="B54" s="413"/>
      <c r="C54" s="406"/>
      <c r="D54" s="406"/>
      <c r="E54" s="406"/>
      <c r="F54" s="406"/>
      <c r="G54" s="406"/>
      <c r="H54" s="406"/>
      <c r="I54" s="406"/>
      <c r="J54" s="406"/>
      <c r="K54" s="406"/>
      <c r="L54" s="406"/>
      <c r="M54" s="406"/>
      <c r="N54" s="468"/>
      <c r="O54" s="406"/>
      <c r="P54" s="402"/>
    </row>
    <row r="55" spans="1:16" s="569" customFormat="1" ht="46.8" x14ac:dyDescent="0.3">
      <c r="A55" s="572"/>
      <c r="B55" s="573" t="s">
        <v>16</v>
      </c>
      <c r="C55" s="574"/>
      <c r="D55" s="574" t="s">
        <v>91</v>
      </c>
      <c r="E55" s="574"/>
      <c r="F55" s="574" t="s">
        <v>93</v>
      </c>
      <c r="G55" s="574"/>
      <c r="H55" s="574" t="s">
        <v>95</v>
      </c>
      <c r="I55" s="574"/>
      <c r="J55" s="574" t="s">
        <v>97</v>
      </c>
      <c r="K55" s="574"/>
      <c r="L55" s="574" t="s">
        <v>104</v>
      </c>
      <c r="M55" s="574"/>
      <c r="N55" s="575" t="s">
        <v>112</v>
      </c>
      <c r="O55" s="576"/>
      <c r="P55" s="568"/>
    </row>
    <row r="56" spans="1:16" s="419" customFormat="1" x14ac:dyDescent="0.3">
      <c r="A56" s="427"/>
      <c r="B56" s="428" t="s">
        <v>17</v>
      </c>
      <c r="C56" s="469"/>
      <c r="D56" s="469">
        <v>268565</v>
      </c>
      <c r="E56" s="469"/>
      <c r="F56" s="470">
        <v>12392</v>
      </c>
      <c r="G56" s="469"/>
      <c r="H56" s="469">
        <f>1532</f>
        <v>1532</v>
      </c>
      <c r="I56" s="469"/>
      <c r="J56" s="469">
        <v>0</v>
      </c>
      <c r="K56" s="469"/>
      <c r="L56" s="469">
        <v>0</v>
      </c>
      <c r="M56" s="469"/>
      <c r="N56" s="470">
        <f>+F56-H56+J56-L56</f>
        <v>10860</v>
      </c>
      <c r="O56" s="430"/>
      <c r="P56" s="418"/>
    </row>
    <row r="57" spans="1:16" s="419" customFormat="1" x14ac:dyDescent="0.3">
      <c r="A57" s="427"/>
      <c r="B57" s="428" t="s">
        <v>209</v>
      </c>
      <c r="C57" s="469"/>
      <c r="D57" s="469">
        <v>756</v>
      </c>
      <c r="E57" s="469"/>
      <c r="F57" s="470">
        <v>47</v>
      </c>
      <c r="G57" s="469"/>
      <c r="H57" s="469">
        <v>10</v>
      </c>
      <c r="I57" s="469"/>
      <c r="J57" s="469">
        <v>0</v>
      </c>
      <c r="K57" s="469"/>
      <c r="L57" s="469">
        <v>0</v>
      </c>
      <c r="M57" s="469"/>
      <c r="N57" s="470">
        <f>+F57-H57</f>
        <v>37</v>
      </c>
      <c r="O57" s="430"/>
      <c r="P57" s="418"/>
    </row>
    <row r="58" spans="1:16" s="419" customFormat="1" x14ac:dyDescent="0.3">
      <c r="A58" s="427"/>
      <c r="B58" s="428"/>
      <c r="C58" s="469"/>
      <c r="D58" s="469"/>
      <c r="E58" s="469"/>
      <c r="F58" s="470"/>
      <c r="G58" s="469"/>
      <c r="H58" s="469"/>
      <c r="I58" s="469"/>
      <c r="J58" s="469"/>
      <c r="K58" s="469"/>
      <c r="L58" s="469"/>
      <c r="M58" s="469"/>
      <c r="N58" s="470"/>
      <c r="O58" s="430"/>
      <c r="P58" s="418"/>
    </row>
    <row r="59" spans="1:16" s="419" customFormat="1" x14ac:dyDescent="0.3">
      <c r="A59" s="427"/>
      <c r="B59" s="428" t="s">
        <v>19</v>
      </c>
      <c r="C59" s="469"/>
      <c r="D59" s="469">
        <f>SUM(D56:D58)</f>
        <v>269321</v>
      </c>
      <c r="E59" s="469"/>
      <c r="F59" s="469">
        <f>F56+F57</f>
        <v>12439</v>
      </c>
      <c r="G59" s="469"/>
      <c r="H59" s="469">
        <f>SUM(H56:H58)</f>
        <v>1542</v>
      </c>
      <c r="I59" s="469"/>
      <c r="J59" s="469">
        <f>SUM(J56:J58)</f>
        <v>0</v>
      </c>
      <c r="K59" s="469"/>
      <c r="L59" s="469">
        <f>SUM(L56:L58)</f>
        <v>0</v>
      </c>
      <c r="M59" s="469"/>
      <c r="N59" s="469">
        <f>SUM(N56:N58)</f>
        <v>10897</v>
      </c>
      <c r="O59" s="430"/>
      <c r="P59" s="418"/>
    </row>
    <row r="60" spans="1:16" x14ac:dyDescent="0.3">
      <c r="A60" s="404"/>
      <c r="B60" s="471"/>
      <c r="C60" s="472"/>
      <c r="D60" s="472"/>
      <c r="E60" s="472"/>
      <c r="F60" s="472"/>
      <c r="G60" s="472"/>
      <c r="H60" s="472"/>
      <c r="I60" s="472"/>
      <c r="J60" s="472"/>
      <c r="K60" s="472"/>
      <c r="L60" s="472"/>
      <c r="M60" s="472"/>
      <c r="N60" s="473"/>
      <c r="O60" s="471"/>
      <c r="P60" s="402"/>
    </row>
    <row r="61" spans="1:16" x14ac:dyDescent="0.3">
      <c r="A61" s="404"/>
      <c r="B61" s="408" t="s">
        <v>20</v>
      </c>
      <c r="C61" s="474"/>
      <c r="D61" s="474"/>
      <c r="E61" s="474"/>
      <c r="F61" s="474"/>
      <c r="G61" s="474"/>
      <c r="H61" s="474"/>
      <c r="I61" s="474"/>
      <c r="J61" s="474"/>
      <c r="K61" s="474"/>
      <c r="L61" s="474"/>
      <c r="M61" s="474"/>
      <c r="N61" s="475"/>
      <c r="O61" s="406"/>
      <c r="P61" s="402"/>
    </row>
    <row r="62" spans="1:16" x14ac:dyDescent="0.3">
      <c r="A62" s="404"/>
      <c r="B62" s="406"/>
      <c r="C62" s="474"/>
      <c r="D62" s="474"/>
      <c r="E62" s="474"/>
      <c r="F62" s="474"/>
      <c r="G62" s="474"/>
      <c r="H62" s="474"/>
      <c r="I62" s="474"/>
      <c r="J62" s="474"/>
      <c r="K62" s="474"/>
      <c r="L62" s="474"/>
      <c r="M62" s="474"/>
      <c r="N62" s="475"/>
      <c r="O62" s="406"/>
      <c r="P62" s="402"/>
    </row>
    <row r="63" spans="1:16" s="419" customFormat="1" x14ac:dyDescent="0.3">
      <c r="A63" s="427"/>
      <c r="B63" s="428" t="s">
        <v>17</v>
      </c>
      <c r="C63" s="469"/>
      <c r="D63" s="469"/>
      <c r="E63" s="469"/>
      <c r="F63" s="469"/>
      <c r="G63" s="469"/>
      <c r="H63" s="469"/>
      <c r="I63" s="469"/>
      <c r="J63" s="469"/>
      <c r="K63" s="469"/>
      <c r="L63" s="469"/>
      <c r="M63" s="469"/>
      <c r="N63" s="469"/>
      <c r="O63" s="430"/>
      <c r="P63" s="418"/>
    </row>
    <row r="64" spans="1:16" s="419" customFormat="1" x14ac:dyDescent="0.3">
      <c r="A64" s="427"/>
      <c r="B64" s="428" t="s">
        <v>18</v>
      </c>
      <c r="C64" s="469"/>
      <c r="D64" s="469"/>
      <c r="E64" s="469"/>
      <c r="F64" s="469"/>
      <c r="G64" s="469"/>
      <c r="H64" s="469"/>
      <c r="I64" s="469"/>
      <c r="J64" s="469"/>
      <c r="K64" s="469"/>
      <c r="L64" s="469"/>
      <c r="M64" s="469"/>
      <c r="N64" s="469"/>
      <c r="O64" s="430"/>
      <c r="P64" s="418"/>
    </row>
    <row r="65" spans="1:16" s="419" customFormat="1" x14ac:dyDescent="0.3">
      <c r="A65" s="427"/>
      <c r="B65" s="428"/>
      <c r="C65" s="469"/>
      <c r="D65" s="469"/>
      <c r="E65" s="469"/>
      <c r="F65" s="469"/>
      <c r="G65" s="469"/>
      <c r="H65" s="469"/>
      <c r="I65" s="469"/>
      <c r="J65" s="469"/>
      <c r="K65" s="469"/>
      <c r="L65" s="469"/>
      <c r="M65" s="469"/>
      <c r="N65" s="469"/>
      <c r="O65" s="430"/>
      <c r="P65" s="418"/>
    </row>
    <row r="66" spans="1:16" s="419" customFormat="1" x14ac:dyDescent="0.3">
      <c r="A66" s="427"/>
      <c r="B66" s="428" t="s">
        <v>19</v>
      </c>
      <c r="C66" s="469"/>
      <c r="D66" s="469"/>
      <c r="E66" s="469"/>
      <c r="F66" s="469"/>
      <c r="G66" s="469"/>
      <c r="H66" s="469"/>
      <c r="I66" s="469"/>
      <c r="J66" s="469"/>
      <c r="K66" s="469"/>
      <c r="L66" s="469"/>
      <c r="M66" s="469"/>
      <c r="N66" s="469"/>
      <c r="O66" s="430"/>
      <c r="P66" s="418"/>
    </row>
    <row r="67" spans="1:16" s="419" customFormat="1" x14ac:dyDescent="0.3">
      <c r="A67" s="427"/>
      <c r="B67" s="428"/>
      <c r="C67" s="469"/>
      <c r="D67" s="469"/>
      <c r="E67" s="469"/>
      <c r="F67" s="469"/>
      <c r="G67" s="469"/>
      <c r="H67" s="469"/>
      <c r="I67" s="469"/>
      <c r="J67" s="469"/>
      <c r="K67" s="469"/>
      <c r="L67" s="469"/>
      <c r="M67" s="469"/>
      <c r="N67" s="469"/>
      <c r="O67" s="430"/>
      <c r="P67" s="418"/>
    </row>
    <row r="68" spans="1:16" s="419" customFormat="1" x14ac:dyDescent="0.3">
      <c r="A68" s="427"/>
      <c r="B68" s="428" t="s">
        <v>209</v>
      </c>
      <c r="C68" s="469"/>
      <c r="D68" s="469">
        <v>-756</v>
      </c>
      <c r="E68" s="469"/>
      <c r="F68" s="469">
        <v>-47</v>
      </c>
      <c r="G68" s="469"/>
      <c r="H68" s="469"/>
      <c r="I68" s="469"/>
      <c r="J68" s="469"/>
      <c r="K68" s="469"/>
      <c r="L68" s="469"/>
      <c r="M68" s="469"/>
      <c r="N68" s="470">
        <f>-N57</f>
        <v>-37</v>
      </c>
      <c r="O68" s="430"/>
      <c r="P68" s="418"/>
    </row>
    <row r="69" spans="1:16" s="419" customFormat="1" x14ac:dyDescent="0.3">
      <c r="A69" s="427"/>
      <c r="B69" s="428" t="s">
        <v>21</v>
      </c>
      <c r="C69" s="469"/>
      <c r="D69" s="469">
        <v>0</v>
      </c>
      <c r="E69" s="469"/>
      <c r="F69" s="469">
        <v>0</v>
      </c>
      <c r="G69" s="469"/>
      <c r="H69" s="469"/>
      <c r="I69" s="469"/>
      <c r="J69" s="469"/>
      <c r="K69" s="469"/>
      <c r="L69" s="469"/>
      <c r="M69" s="469"/>
      <c r="N69" s="469">
        <f>SUM(D69:J69)</f>
        <v>0</v>
      </c>
      <c r="O69" s="430"/>
      <c r="P69" s="418"/>
    </row>
    <row r="70" spans="1:16" s="419" customFormat="1" x14ac:dyDescent="0.3">
      <c r="A70" s="427"/>
      <c r="B70" s="428" t="s">
        <v>210</v>
      </c>
      <c r="C70" s="469"/>
      <c r="D70" s="469">
        <v>35</v>
      </c>
      <c r="E70" s="469"/>
      <c r="F70" s="469">
        <v>0</v>
      </c>
      <c r="G70" s="469"/>
      <c r="H70" s="469">
        <v>0</v>
      </c>
      <c r="I70" s="469"/>
      <c r="J70" s="469"/>
      <c r="K70" s="469"/>
      <c r="L70" s="469"/>
      <c r="M70" s="469"/>
      <c r="N70" s="469">
        <f>+F70+H70</f>
        <v>0</v>
      </c>
      <c r="O70" s="430"/>
      <c r="P70" s="418"/>
    </row>
    <row r="71" spans="1:16" s="419" customFormat="1" x14ac:dyDescent="0.3">
      <c r="A71" s="427"/>
      <c r="B71" s="428" t="s">
        <v>23</v>
      </c>
      <c r="C71" s="469"/>
      <c r="D71" s="469">
        <v>0</v>
      </c>
      <c r="E71" s="469"/>
      <c r="F71" s="469">
        <v>0</v>
      </c>
      <c r="G71" s="469"/>
      <c r="H71" s="469"/>
      <c r="I71" s="469"/>
      <c r="J71" s="469"/>
      <c r="K71" s="469"/>
      <c r="L71" s="469"/>
      <c r="M71" s="469"/>
      <c r="N71" s="469">
        <v>0</v>
      </c>
      <c r="O71" s="430"/>
      <c r="P71" s="418"/>
    </row>
    <row r="72" spans="1:16" s="419" customFormat="1" x14ac:dyDescent="0.3">
      <c r="A72" s="427"/>
      <c r="B72" s="428" t="s">
        <v>24</v>
      </c>
      <c r="C72" s="469"/>
      <c r="D72" s="469">
        <f>SUM(D59:D71)</f>
        <v>268600</v>
      </c>
      <c r="E72" s="469"/>
      <c r="F72" s="469">
        <f>SUM(F59:F71)</f>
        <v>12392</v>
      </c>
      <c r="G72" s="469"/>
      <c r="H72" s="469"/>
      <c r="I72" s="469"/>
      <c r="J72" s="469"/>
      <c r="K72" s="469"/>
      <c r="L72" s="469"/>
      <c r="M72" s="469"/>
      <c r="N72" s="469">
        <f>SUM(N59:N71)</f>
        <v>10860</v>
      </c>
      <c r="O72" s="430"/>
      <c r="P72" s="418"/>
    </row>
    <row r="73" spans="1:16" x14ac:dyDescent="0.3">
      <c r="A73" s="404"/>
      <c r="B73" s="476"/>
      <c r="C73" s="477"/>
      <c r="D73" s="477"/>
      <c r="E73" s="477"/>
      <c r="F73" s="477"/>
      <c r="G73" s="477"/>
      <c r="H73" s="477"/>
      <c r="I73" s="477"/>
      <c r="J73" s="477"/>
      <c r="K73" s="477"/>
      <c r="L73" s="477"/>
      <c r="M73" s="477"/>
      <c r="N73" s="477"/>
      <c r="O73" s="476"/>
      <c r="P73" s="402"/>
    </row>
    <row r="74" spans="1:16" x14ac:dyDescent="0.3">
      <c r="A74" s="404"/>
      <c r="B74" s="478"/>
      <c r="C74" s="478"/>
      <c r="D74" s="478"/>
      <c r="E74" s="478"/>
      <c r="F74" s="478"/>
      <c r="G74" s="478"/>
      <c r="H74" s="478"/>
      <c r="I74" s="478"/>
      <c r="J74" s="478"/>
      <c r="K74" s="478"/>
      <c r="L74" s="478"/>
      <c r="M74" s="478"/>
      <c r="N74" s="478"/>
      <c r="O74" s="478"/>
      <c r="P74" s="402"/>
    </row>
    <row r="75" spans="1:16" x14ac:dyDescent="0.3">
      <c r="A75" s="585"/>
      <c r="B75" s="599" t="s">
        <v>25</v>
      </c>
      <c r="C75" s="599"/>
      <c r="D75" s="600" t="s">
        <v>92</v>
      </c>
      <c r="E75" s="601"/>
      <c r="F75" s="602">
        <f>+L183</f>
        <v>43434</v>
      </c>
      <c r="G75" s="601"/>
      <c r="H75" s="601"/>
      <c r="I75" s="601"/>
      <c r="J75" s="601"/>
      <c r="K75" s="601"/>
      <c r="L75" s="601" t="s">
        <v>105</v>
      </c>
      <c r="M75" s="601"/>
      <c r="N75" s="601" t="s">
        <v>113</v>
      </c>
      <c r="O75" s="594"/>
      <c r="P75" s="402"/>
    </row>
    <row r="76" spans="1:16" s="419" customFormat="1" x14ac:dyDescent="0.3">
      <c r="A76" s="587"/>
      <c r="B76" s="588" t="s">
        <v>26</v>
      </c>
      <c r="C76" s="588"/>
      <c r="D76" s="588"/>
      <c r="E76" s="588"/>
      <c r="F76" s="588"/>
      <c r="G76" s="588"/>
      <c r="H76" s="588"/>
      <c r="I76" s="588"/>
      <c r="J76" s="588"/>
      <c r="K76" s="588"/>
      <c r="L76" s="597">
        <v>0</v>
      </c>
      <c r="M76" s="588"/>
      <c r="N76" s="598">
        <v>0</v>
      </c>
      <c r="O76" s="590"/>
      <c r="P76" s="418"/>
    </row>
    <row r="77" spans="1:16" s="419" customFormat="1" x14ac:dyDescent="0.3">
      <c r="A77" s="427"/>
      <c r="B77" s="428" t="s">
        <v>27</v>
      </c>
      <c r="C77" s="428"/>
      <c r="D77" s="449"/>
      <c r="E77" s="428"/>
      <c r="F77" s="479"/>
      <c r="G77" s="428"/>
      <c r="H77" s="428"/>
      <c r="I77" s="428"/>
      <c r="J77" s="428"/>
      <c r="K77" s="428"/>
      <c r="L77" s="469">
        <v>1532</v>
      </c>
      <c r="M77" s="428"/>
      <c r="N77" s="470"/>
      <c r="O77" s="430"/>
      <c r="P77" s="418"/>
    </row>
    <row r="78" spans="1:16" s="419" customFormat="1" x14ac:dyDescent="0.3">
      <c r="A78" s="427"/>
      <c r="B78" s="428" t="s">
        <v>176</v>
      </c>
      <c r="C78" s="428"/>
      <c r="D78" s="449"/>
      <c r="E78" s="428"/>
      <c r="F78" s="479"/>
      <c r="G78" s="428"/>
      <c r="H78" s="428"/>
      <c r="I78" s="428"/>
      <c r="J78" s="428"/>
      <c r="K78" s="428"/>
      <c r="L78" s="469"/>
      <c r="M78" s="428"/>
      <c r="N78" s="470">
        <f>340+43+64-244-25-46</f>
        <v>132</v>
      </c>
      <c r="O78" s="430"/>
      <c r="P78" s="418"/>
    </row>
    <row r="79" spans="1:16" s="419" customFormat="1" x14ac:dyDescent="0.3">
      <c r="A79" s="427"/>
      <c r="B79" s="428" t="s">
        <v>174</v>
      </c>
      <c r="C79" s="428"/>
      <c r="D79" s="449"/>
      <c r="E79" s="428"/>
      <c r="F79" s="479"/>
      <c r="G79" s="428"/>
      <c r="H79" s="428"/>
      <c r="I79" s="428"/>
      <c r="J79" s="428"/>
      <c r="K79" s="428"/>
      <c r="L79" s="469"/>
      <c r="M79" s="428"/>
      <c r="N79" s="470">
        <v>8</v>
      </c>
      <c r="O79" s="430"/>
      <c r="P79" s="418"/>
    </row>
    <row r="80" spans="1:16" s="419" customFormat="1" x14ac:dyDescent="0.3">
      <c r="A80" s="427"/>
      <c r="B80" s="428" t="s">
        <v>175</v>
      </c>
      <c r="C80" s="428"/>
      <c r="D80" s="449"/>
      <c r="E80" s="428"/>
      <c r="F80" s="479"/>
      <c r="G80" s="428"/>
      <c r="H80" s="428"/>
      <c r="I80" s="428"/>
      <c r="J80" s="428"/>
      <c r="K80" s="428"/>
      <c r="L80" s="469"/>
      <c r="M80" s="428"/>
      <c r="N80" s="470">
        <v>2</v>
      </c>
      <c r="O80" s="430"/>
      <c r="P80" s="418"/>
    </row>
    <row r="81" spans="1:17" s="419" customFormat="1" x14ac:dyDescent="0.3">
      <c r="A81" s="427"/>
      <c r="B81" s="428" t="s">
        <v>131</v>
      </c>
      <c r="C81" s="428"/>
      <c r="D81" s="428"/>
      <c r="E81" s="428"/>
      <c r="F81" s="428"/>
      <c r="G81" s="428"/>
      <c r="H81" s="428"/>
      <c r="I81" s="428"/>
      <c r="J81" s="428"/>
      <c r="K81" s="428"/>
      <c r="L81" s="469"/>
      <c r="M81" s="428"/>
      <c r="N81" s="470">
        <v>0</v>
      </c>
      <c r="O81" s="430"/>
      <c r="P81" s="418"/>
    </row>
    <row r="82" spans="1:17" s="419" customFormat="1" x14ac:dyDescent="0.3">
      <c r="A82" s="427"/>
      <c r="B82" s="428" t="s">
        <v>211</v>
      </c>
      <c r="C82" s="428"/>
      <c r="D82" s="428"/>
      <c r="E82" s="428"/>
      <c r="F82" s="428"/>
      <c r="G82" s="428"/>
      <c r="H82" s="428"/>
      <c r="I82" s="428"/>
      <c r="J82" s="428"/>
      <c r="K82" s="428"/>
      <c r="L82" s="469"/>
      <c r="M82" s="428"/>
      <c r="N82" s="470">
        <v>0</v>
      </c>
      <c r="O82" s="430"/>
      <c r="P82" s="418"/>
    </row>
    <row r="83" spans="1:17" s="419" customFormat="1" x14ac:dyDescent="0.3">
      <c r="A83" s="427"/>
      <c r="B83" s="428" t="s">
        <v>28</v>
      </c>
      <c r="C83" s="428"/>
      <c r="D83" s="428"/>
      <c r="E83" s="428"/>
      <c r="F83" s="428"/>
      <c r="G83" s="428"/>
      <c r="H83" s="428"/>
      <c r="I83" s="428"/>
      <c r="J83" s="428"/>
      <c r="K83" s="428"/>
      <c r="L83" s="469">
        <f>SUM(L76:L82)</f>
        <v>1532</v>
      </c>
      <c r="M83" s="428"/>
      <c r="N83" s="469">
        <f>SUM(N76:N82)</f>
        <v>142</v>
      </c>
      <c r="O83" s="430"/>
      <c r="P83" s="418"/>
    </row>
    <row r="84" spans="1:17" s="419" customFormat="1" x14ac:dyDescent="0.3">
      <c r="A84" s="427"/>
      <c r="B84" s="428" t="s">
        <v>148</v>
      </c>
      <c r="C84" s="428"/>
      <c r="D84" s="428"/>
      <c r="E84" s="428"/>
      <c r="F84" s="428"/>
      <c r="G84" s="428"/>
      <c r="H84" s="428"/>
      <c r="I84" s="428"/>
      <c r="J84" s="428"/>
      <c r="K84" s="428"/>
      <c r="L84" s="469">
        <v>0</v>
      </c>
      <c r="M84" s="428"/>
      <c r="N84" s="469">
        <f>-L84</f>
        <v>0</v>
      </c>
      <c r="O84" s="430"/>
      <c r="P84" s="418"/>
    </row>
    <row r="85" spans="1:17" s="419" customFormat="1" x14ac:dyDescent="0.3">
      <c r="A85" s="427"/>
      <c r="B85" s="428" t="s">
        <v>29</v>
      </c>
      <c r="C85" s="428"/>
      <c r="D85" s="428"/>
      <c r="E85" s="428"/>
      <c r="F85" s="428"/>
      <c r="G85" s="428"/>
      <c r="H85" s="428"/>
      <c r="I85" s="428"/>
      <c r="J85" s="428"/>
      <c r="K85" s="428"/>
      <c r="L85" s="469">
        <f>-N85</f>
        <v>0</v>
      </c>
      <c r="M85" s="428"/>
      <c r="N85" s="470">
        <v>0</v>
      </c>
      <c r="O85" s="430"/>
      <c r="P85" s="418"/>
    </row>
    <row r="86" spans="1:17" s="419" customFormat="1" x14ac:dyDescent="0.3">
      <c r="A86" s="427"/>
      <c r="B86" s="428" t="s">
        <v>244</v>
      </c>
      <c r="C86" s="428"/>
      <c r="D86" s="428"/>
      <c r="E86" s="428"/>
      <c r="F86" s="428"/>
      <c r="G86" s="428"/>
      <c r="H86" s="428"/>
      <c r="I86" s="428"/>
      <c r="J86" s="428"/>
      <c r="K86" s="428"/>
      <c r="L86" s="469"/>
      <c r="M86" s="428"/>
      <c r="N86" s="470">
        <v>0</v>
      </c>
      <c r="O86" s="430"/>
      <c r="P86" s="418"/>
    </row>
    <row r="87" spans="1:17" s="419" customFormat="1" x14ac:dyDescent="0.3">
      <c r="A87" s="427"/>
      <c r="B87" s="428" t="s">
        <v>30</v>
      </c>
      <c r="C87" s="428"/>
      <c r="D87" s="428"/>
      <c r="E87" s="428"/>
      <c r="F87" s="428"/>
      <c r="G87" s="428"/>
      <c r="H87" s="428"/>
      <c r="I87" s="428"/>
      <c r="J87" s="428"/>
      <c r="K87" s="428"/>
      <c r="L87" s="469">
        <f>L83+L85+L84</f>
        <v>1532</v>
      </c>
      <c r="M87" s="428"/>
      <c r="N87" s="469">
        <f>N83+N85+N84+N86</f>
        <v>142</v>
      </c>
      <c r="O87" s="430"/>
      <c r="P87" s="418"/>
    </row>
    <row r="88" spans="1:17" x14ac:dyDescent="0.3">
      <c r="A88" s="442"/>
      <c r="B88" s="577" t="s">
        <v>31</v>
      </c>
      <c r="C88" s="443"/>
      <c r="D88" s="443"/>
      <c r="E88" s="443"/>
      <c r="F88" s="443"/>
      <c r="G88" s="443"/>
      <c r="H88" s="443"/>
      <c r="I88" s="443"/>
      <c r="J88" s="443"/>
      <c r="K88" s="443"/>
      <c r="L88" s="480"/>
      <c r="M88" s="443"/>
      <c r="N88" s="481"/>
      <c r="O88" s="445"/>
      <c r="P88" s="402"/>
    </row>
    <row r="89" spans="1:17" s="419" customFormat="1" x14ac:dyDescent="0.3">
      <c r="A89" s="427">
        <v>1</v>
      </c>
      <c r="B89" s="428" t="s">
        <v>32</v>
      </c>
      <c r="C89" s="428"/>
      <c r="D89" s="428"/>
      <c r="E89" s="428"/>
      <c r="F89" s="428"/>
      <c r="G89" s="428"/>
      <c r="H89" s="428"/>
      <c r="I89" s="428"/>
      <c r="J89" s="428"/>
      <c r="K89" s="428"/>
      <c r="L89" s="428"/>
      <c r="M89" s="428"/>
      <c r="N89" s="470">
        <v>0</v>
      </c>
      <c r="O89" s="430"/>
      <c r="P89" s="418"/>
    </row>
    <row r="90" spans="1:17" s="419" customFormat="1" x14ac:dyDescent="0.3">
      <c r="A90" s="427">
        <f>+A89+1</f>
        <v>2</v>
      </c>
      <c r="B90" s="428" t="s">
        <v>224</v>
      </c>
      <c r="C90" s="428"/>
      <c r="D90" s="428"/>
      <c r="E90" s="428"/>
      <c r="F90" s="428"/>
      <c r="G90" s="428"/>
      <c r="H90" s="428"/>
      <c r="I90" s="428"/>
      <c r="J90" s="428"/>
      <c r="K90" s="428"/>
      <c r="L90" s="428"/>
      <c r="M90" s="428"/>
      <c r="N90" s="470">
        <v>-2</v>
      </c>
      <c r="O90" s="430"/>
      <c r="P90" s="418"/>
    </row>
    <row r="91" spans="1:17" s="419" customFormat="1" x14ac:dyDescent="0.3">
      <c r="A91" s="427">
        <f>+A90+1</f>
        <v>3</v>
      </c>
      <c r="B91" s="428" t="s">
        <v>235</v>
      </c>
      <c r="C91" s="428"/>
      <c r="D91" s="428"/>
      <c r="E91" s="428"/>
      <c r="F91" s="428"/>
      <c r="G91" s="428"/>
      <c r="H91" s="428"/>
      <c r="I91" s="428"/>
      <c r="J91" s="428"/>
      <c r="K91" s="428"/>
      <c r="L91" s="428"/>
      <c r="M91" s="428"/>
      <c r="N91" s="470">
        <f>-5-14</f>
        <v>-19</v>
      </c>
      <c r="O91" s="430"/>
      <c r="P91" s="418"/>
    </row>
    <row r="92" spans="1:17" s="419" customFormat="1" x14ac:dyDescent="0.3">
      <c r="A92" s="427" t="s">
        <v>123</v>
      </c>
      <c r="B92" s="428" t="s">
        <v>116</v>
      </c>
      <c r="C92" s="428"/>
      <c r="D92" s="428"/>
      <c r="E92" s="428"/>
      <c r="F92" s="428"/>
      <c r="G92" s="428"/>
      <c r="H92" s="428"/>
      <c r="I92" s="428"/>
      <c r="J92" s="428"/>
      <c r="K92" s="428"/>
      <c r="L92" s="428"/>
      <c r="M92" s="428"/>
      <c r="N92" s="470">
        <v>0</v>
      </c>
      <c r="O92" s="430"/>
      <c r="P92" s="418"/>
    </row>
    <row r="93" spans="1:17" s="419" customFormat="1" x14ac:dyDescent="0.3">
      <c r="A93" s="427" t="s">
        <v>124</v>
      </c>
      <c r="B93" s="428" t="s">
        <v>214</v>
      </c>
      <c r="C93" s="428"/>
      <c r="D93" s="428"/>
      <c r="E93" s="428"/>
      <c r="F93" s="428"/>
      <c r="G93" s="428"/>
      <c r="H93" s="428"/>
      <c r="I93" s="428"/>
      <c r="J93" s="428"/>
      <c r="K93" s="428"/>
      <c r="L93" s="428"/>
      <c r="M93" s="428"/>
      <c r="N93" s="470">
        <v>-24</v>
      </c>
      <c r="O93" s="430"/>
      <c r="P93" s="418"/>
    </row>
    <row r="94" spans="1:17" s="419" customFormat="1" x14ac:dyDescent="0.3">
      <c r="A94" s="427" t="s">
        <v>140</v>
      </c>
      <c r="B94" s="428" t="s">
        <v>180</v>
      </c>
      <c r="C94" s="428"/>
      <c r="D94" s="428"/>
      <c r="E94" s="428"/>
      <c r="F94" s="428"/>
      <c r="G94" s="428"/>
      <c r="H94" s="428"/>
      <c r="I94" s="428"/>
      <c r="J94" s="428"/>
      <c r="K94" s="428"/>
      <c r="L94" s="428"/>
      <c r="M94" s="428"/>
      <c r="N94" s="470">
        <v>0</v>
      </c>
      <c r="O94" s="430"/>
      <c r="P94" s="418"/>
    </row>
    <row r="95" spans="1:17" s="419" customFormat="1" x14ac:dyDescent="0.3">
      <c r="A95" s="427" t="s">
        <v>169</v>
      </c>
      <c r="B95" s="428" t="s">
        <v>215</v>
      </c>
      <c r="C95" s="428"/>
      <c r="D95" s="428"/>
      <c r="E95" s="428"/>
      <c r="F95" s="428"/>
      <c r="G95" s="428"/>
      <c r="H95" s="428"/>
      <c r="I95" s="428"/>
      <c r="J95" s="428"/>
      <c r="K95" s="428"/>
      <c r="L95" s="428"/>
      <c r="M95" s="428"/>
      <c r="N95" s="470">
        <v>-5</v>
      </c>
      <c r="O95" s="430"/>
      <c r="P95" s="418"/>
      <c r="Q95" s="482"/>
    </row>
    <row r="96" spans="1:17" s="419" customFormat="1" x14ac:dyDescent="0.3">
      <c r="A96" s="427" t="s">
        <v>170</v>
      </c>
      <c r="B96" s="428" t="s">
        <v>216</v>
      </c>
      <c r="C96" s="428"/>
      <c r="D96" s="428"/>
      <c r="E96" s="428"/>
      <c r="F96" s="428"/>
      <c r="G96" s="428"/>
      <c r="H96" s="428"/>
      <c r="I96" s="428"/>
      <c r="J96" s="428"/>
      <c r="K96" s="428"/>
      <c r="L96" s="428"/>
      <c r="M96" s="428"/>
      <c r="N96" s="470">
        <v>-5</v>
      </c>
      <c r="O96" s="430"/>
      <c r="P96" s="418"/>
      <c r="Q96" s="482"/>
    </row>
    <row r="97" spans="1:16" s="419" customFormat="1" x14ac:dyDescent="0.3">
      <c r="A97" s="427">
        <v>7</v>
      </c>
      <c r="B97" s="428" t="s">
        <v>33</v>
      </c>
      <c r="C97" s="428"/>
      <c r="D97" s="428"/>
      <c r="E97" s="428"/>
      <c r="F97" s="428"/>
      <c r="G97" s="428"/>
      <c r="H97" s="428"/>
      <c r="I97" s="428"/>
      <c r="J97" s="428"/>
      <c r="K97" s="428"/>
      <c r="L97" s="428"/>
      <c r="M97" s="428"/>
      <c r="N97" s="470">
        <v>-7</v>
      </c>
      <c r="O97" s="430"/>
      <c r="P97" s="418"/>
    </row>
    <row r="98" spans="1:16" s="419" customFormat="1" x14ac:dyDescent="0.3">
      <c r="A98" s="427">
        <f t="shared" ref="A98:A104" si="0">+A97+1</f>
        <v>8</v>
      </c>
      <c r="B98" s="428" t="s">
        <v>42</v>
      </c>
      <c r="C98" s="428"/>
      <c r="D98" s="428"/>
      <c r="E98" s="428"/>
      <c r="F98" s="428"/>
      <c r="G98" s="428"/>
      <c r="H98" s="428"/>
      <c r="I98" s="428"/>
      <c r="J98" s="428"/>
      <c r="K98" s="428"/>
      <c r="L98" s="469">
        <f>-N98</f>
        <v>0</v>
      </c>
      <c r="M98" s="428"/>
      <c r="N98" s="470">
        <v>0</v>
      </c>
      <c r="O98" s="430"/>
      <c r="P98" s="418"/>
    </row>
    <row r="99" spans="1:16" s="419" customFormat="1" x14ac:dyDescent="0.3">
      <c r="A99" s="427">
        <f t="shared" si="0"/>
        <v>9</v>
      </c>
      <c r="B99" s="428" t="s">
        <v>121</v>
      </c>
      <c r="C99" s="428"/>
      <c r="D99" s="428"/>
      <c r="E99" s="428"/>
      <c r="F99" s="428"/>
      <c r="G99" s="428"/>
      <c r="H99" s="428"/>
      <c r="I99" s="428"/>
      <c r="J99" s="428"/>
      <c r="K99" s="428"/>
      <c r="L99" s="428"/>
      <c r="M99" s="428"/>
      <c r="N99" s="470">
        <v>0</v>
      </c>
      <c r="O99" s="430"/>
      <c r="P99" s="418"/>
    </row>
    <row r="100" spans="1:16" s="419" customFormat="1" x14ac:dyDescent="0.3">
      <c r="A100" s="427">
        <f t="shared" si="0"/>
        <v>10</v>
      </c>
      <c r="B100" s="428" t="s">
        <v>182</v>
      </c>
      <c r="C100" s="428"/>
      <c r="D100" s="428"/>
      <c r="E100" s="428"/>
      <c r="F100" s="428"/>
      <c r="G100" s="428"/>
      <c r="H100" s="428"/>
      <c r="I100" s="428"/>
      <c r="J100" s="428"/>
      <c r="K100" s="428"/>
      <c r="L100" s="428"/>
      <c r="M100" s="428"/>
      <c r="N100" s="470">
        <v>0</v>
      </c>
      <c r="O100" s="430"/>
      <c r="P100" s="418"/>
    </row>
    <row r="101" spans="1:16" s="419" customFormat="1" x14ac:dyDescent="0.3">
      <c r="A101" s="427">
        <f t="shared" si="0"/>
        <v>11</v>
      </c>
      <c r="B101" s="428" t="s">
        <v>34</v>
      </c>
      <c r="C101" s="428"/>
      <c r="D101" s="428"/>
      <c r="E101" s="428"/>
      <c r="F101" s="428"/>
      <c r="G101" s="428"/>
      <c r="H101" s="428"/>
      <c r="I101" s="428"/>
      <c r="J101" s="428"/>
      <c r="K101" s="428"/>
      <c r="L101" s="428"/>
      <c r="M101" s="428"/>
      <c r="N101" s="470">
        <v>0</v>
      </c>
      <c r="O101" s="430"/>
      <c r="P101" s="418"/>
    </row>
    <row r="102" spans="1:16" s="419" customFormat="1" x14ac:dyDescent="0.3">
      <c r="A102" s="427">
        <f t="shared" si="0"/>
        <v>12</v>
      </c>
      <c r="B102" s="428" t="s">
        <v>181</v>
      </c>
      <c r="C102" s="428"/>
      <c r="D102" s="428"/>
      <c r="E102" s="428"/>
      <c r="F102" s="428"/>
      <c r="G102" s="428"/>
      <c r="H102" s="428"/>
      <c r="I102" s="428"/>
      <c r="J102" s="428"/>
      <c r="K102" s="428"/>
      <c r="L102" s="428"/>
      <c r="M102" s="428"/>
      <c r="N102" s="470">
        <v>0</v>
      </c>
      <c r="O102" s="430"/>
      <c r="P102" s="418"/>
    </row>
    <row r="103" spans="1:16" s="419" customFormat="1" x14ac:dyDescent="0.3">
      <c r="A103" s="427">
        <f t="shared" si="0"/>
        <v>13</v>
      </c>
      <c r="B103" s="428" t="s">
        <v>139</v>
      </c>
      <c r="C103" s="428"/>
      <c r="D103" s="428"/>
      <c r="E103" s="428"/>
      <c r="F103" s="428"/>
      <c r="G103" s="428"/>
      <c r="H103" s="428"/>
      <c r="I103" s="428"/>
      <c r="J103" s="428"/>
      <c r="K103" s="428"/>
      <c r="L103" s="428"/>
      <c r="M103" s="428"/>
      <c r="N103" s="470">
        <v>-5</v>
      </c>
      <c r="O103" s="430"/>
      <c r="P103" s="418"/>
    </row>
    <row r="104" spans="1:16" s="419" customFormat="1" x14ac:dyDescent="0.3">
      <c r="A104" s="427">
        <f t="shared" si="0"/>
        <v>14</v>
      </c>
      <c r="B104" s="428" t="s">
        <v>122</v>
      </c>
      <c r="C104" s="428"/>
      <c r="D104" s="428"/>
      <c r="E104" s="428"/>
      <c r="F104" s="428"/>
      <c r="G104" s="428"/>
      <c r="H104" s="428"/>
      <c r="I104" s="428"/>
      <c r="J104" s="428"/>
      <c r="K104" s="428"/>
      <c r="L104" s="428"/>
      <c r="M104" s="428"/>
      <c r="N104" s="470">
        <f>-N87-SUM(N89:N103)</f>
        <v>-75</v>
      </c>
      <c r="O104" s="430"/>
      <c r="P104" s="418"/>
    </row>
    <row r="105" spans="1:16" x14ac:dyDescent="0.3">
      <c r="A105" s="442"/>
      <c r="B105" s="577" t="s">
        <v>35</v>
      </c>
      <c r="C105" s="443"/>
      <c r="D105" s="443"/>
      <c r="E105" s="443"/>
      <c r="F105" s="443"/>
      <c r="G105" s="443"/>
      <c r="H105" s="443"/>
      <c r="I105" s="443"/>
      <c r="J105" s="443"/>
      <c r="K105" s="443"/>
      <c r="L105" s="443"/>
      <c r="M105" s="443"/>
      <c r="N105" s="483"/>
      <c r="O105" s="445"/>
      <c r="P105" s="402"/>
    </row>
    <row r="106" spans="1:16" s="419" customFormat="1" x14ac:dyDescent="0.3">
      <c r="A106" s="427"/>
      <c r="B106" s="428" t="s">
        <v>160</v>
      </c>
      <c r="C106" s="428"/>
      <c r="D106" s="428"/>
      <c r="E106" s="428"/>
      <c r="F106" s="428"/>
      <c r="G106" s="428"/>
      <c r="H106" s="428"/>
      <c r="I106" s="428"/>
      <c r="J106" s="428"/>
      <c r="K106" s="428"/>
      <c r="L106" s="469">
        <v>0</v>
      </c>
      <c r="M106" s="469"/>
      <c r="N106" s="470"/>
      <c r="O106" s="430"/>
      <c r="P106" s="418"/>
    </row>
    <row r="107" spans="1:16" s="419" customFormat="1" x14ac:dyDescent="0.3">
      <c r="A107" s="427"/>
      <c r="B107" s="428" t="s">
        <v>161</v>
      </c>
      <c r="C107" s="428"/>
      <c r="D107" s="428"/>
      <c r="E107" s="428"/>
      <c r="F107" s="428"/>
      <c r="G107" s="428"/>
      <c r="H107" s="428"/>
      <c r="I107" s="428"/>
      <c r="J107" s="428"/>
      <c r="K107" s="428"/>
      <c r="L107" s="469">
        <v>0</v>
      </c>
      <c r="M107" s="469"/>
      <c r="N107" s="470"/>
      <c r="O107" s="430"/>
      <c r="P107" s="418"/>
    </row>
    <row r="108" spans="1:16" s="419" customFormat="1" x14ac:dyDescent="0.3">
      <c r="A108" s="427"/>
      <c r="B108" s="428" t="s">
        <v>200</v>
      </c>
      <c r="C108" s="428"/>
      <c r="D108" s="428"/>
      <c r="E108" s="428"/>
      <c r="F108" s="428"/>
      <c r="G108" s="428"/>
      <c r="H108" s="428"/>
      <c r="I108" s="428"/>
      <c r="J108" s="428"/>
      <c r="K108" s="428"/>
      <c r="L108" s="469">
        <v>-1532</v>
      </c>
      <c r="M108" s="469"/>
      <c r="N108" s="470"/>
      <c r="O108" s="430"/>
      <c r="P108" s="418"/>
    </row>
    <row r="109" spans="1:16" s="419" customFormat="1" x14ac:dyDescent="0.3">
      <c r="A109" s="427"/>
      <c r="B109" s="428" t="s">
        <v>201</v>
      </c>
      <c r="C109" s="428"/>
      <c r="D109" s="428"/>
      <c r="E109" s="428"/>
      <c r="F109" s="428"/>
      <c r="G109" s="428"/>
      <c r="H109" s="428"/>
      <c r="I109" s="428"/>
      <c r="J109" s="428"/>
      <c r="K109" s="428"/>
      <c r="L109" s="469">
        <v>0</v>
      </c>
      <c r="M109" s="469"/>
      <c r="N109" s="470"/>
      <c r="O109" s="430"/>
      <c r="P109" s="418"/>
    </row>
    <row r="110" spans="1:16" s="419" customFormat="1" x14ac:dyDescent="0.3">
      <c r="A110" s="427"/>
      <c r="B110" s="428" t="s">
        <v>202</v>
      </c>
      <c r="C110" s="428"/>
      <c r="D110" s="428"/>
      <c r="E110" s="428"/>
      <c r="F110" s="428"/>
      <c r="G110" s="428"/>
      <c r="H110" s="428"/>
      <c r="I110" s="428"/>
      <c r="J110" s="428"/>
      <c r="K110" s="428"/>
      <c r="L110" s="469">
        <v>0</v>
      </c>
      <c r="M110" s="469"/>
      <c r="N110" s="470"/>
      <c r="O110" s="430"/>
      <c r="P110" s="418"/>
    </row>
    <row r="111" spans="1:16" s="419" customFormat="1" x14ac:dyDescent="0.3">
      <c r="A111" s="427"/>
      <c r="B111" s="428" t="s">
        <v>36</v>
      </c>
      <c r="C111" s="428"/>
      <c r="D111" s="428"/>
      <c r="E111" s="428"/>
      <c r="F111" s="428"/>
      <c r="G111" s="428"/>
      <c r="H111" s="428"/>
      <c r="I111" s="428"/>
      <c r="J111" s="428"/>
      <c r="K111" s="428"/>
      <c r="L111" s="469">
        <f>SUM(L106:L110)</f>
        <v>-1532</v>
      </c>
      <c r="M111" s="469"/>
      <c r="N111" s="469">
        <f>SUM(N88:N109)</f>
        <v>-142</v>
      </c>
      <c r="O111" s="430"/>
      <c r="P111" s="418"/>
    </row>
    <row r="112" spans="1:16" s="419" customFormat="1" x14ac:dyDescent="0.3">
      <c r="A112" s="427"/>
      <c r="B112" s="428" t="s">
        <v>37</v>
      </c>
      <c r="C112" s="428"/>
      <c r="D112" s="428"/>
      <c r="E112" s="428"/>
      <c r="F112" s="428"/>
      <c r="G112" s="428"/>
      <c r="H112" s="428"/>
      <c r="I112" s="428"/>
      <c r="J112" s="428"/>
      <c r="K112" s="428"/>
      <c r="L112" s="469">
        <f>L87+L111+L98</f>
        <v>0</v>
      </c>
      <c r="M112" s="469"/>
      <c r="N112" s="469">
        <f>N87+N111</f>
        <v>0</v>
      </c>
      <c r="O112" s="430"/>
      <c r="P112" s="418"/>
    </row>
    <row r="113" spans="1:17" s="419" customFormat="1" x14ac:dyDescent="0.3">
      <c r="A113" s="415"/>
      <c r="B113" s="458"/>
      <c r="C113" s="458"/>
      <c r="D113" s="458"/>
      <c r="E113" s="458"/>
      <c r="F113" s="458"/>
      <c r="G113" s="458"/>
      <c r="H113" s="458"/>
      <c r="I113" s="458"/>
      <c r="J113" s="458"/>
      <c r="K113" s="458"/>
      <c r="L113" s="484"/>
      <c r="M113" s="484"/>
      <c r="N113" s="484"/>
      <c r="O113" s="458"/>
      <c r="P113" s="418"/>
    </row>
    <row r="114" spans="1:17" s="419" customFormat="1" x14ac:dyDescent="0.3">
      <c r="A114" s="415"/>
      <c r="B114" s="416"/>
      <c r="C114" s="416"/>
      <c r="D114" s="416"/>
      <c r="E114" s="416"/>
      <c r="F114" s="416"/>
      <c r="G114" s="416"/>
      <c r="H114" s="416"/>
      <c r="I114" s="416"/>
      <c r="J114" s="416"/>
      <c r="K114" s="416"/>
      <c r="L114" s="416"/>
      <c r="M114" s="416"/>
      <c r="N114" s="485"/>
      <c r="O114" s="416"/>
      <c r="P114" s="418"/>
    </row>
    <row r="115" spans="1:17" s="419" customFormat="1" ht="18.600000000000001" thickBot="1" x14ac:dyDescent="0.4">
      <c r="A115" s="463"/>
      <c r="B115" s="464" t="str">
        <f>B52</f>
        <v>FF7 INVESTOR REPORT QUARTER ENDING NOVEMBER 2018</v>
      </c>
      <c r="C115" s="465"/>
      <c r="D115" s="465"/>
      <c r="E115" s="465"/>
      <c r="F115" s="465"/>
      <c r="G115" s="465"/>
      <c r="H115" s="465"/>
      <c r="I115" s="465"/>
      <c r="J115" s="465"/>
      <c r="K115" s="465"/>
      <c r="L115" s="465"/>
      <c r="M115" s="465"/>
      <c r="N115" s="486"/>
      <c r="O115" s="467"/>
      <c r="P115" s="418"/>
    </row>
    <row r="116" spans="1:17" x14ac:dyDescent="0.3">
      <c r="A116" s="603"/>
      <c r="B116" s="604" t="s">
        <v>38</v>
      </c>
      <c r="C116" s="605"/>
      <c r="D116" s="605"/>
      <c r="E116" s="605"/>
      <c r="F116" s="605"/>
      <c r="G116" s="605"/>
      <c r="H116" s="605"/>
      <c r="I116" s="605"/>
      <c r="J116" s="605"/>
      <c r="K116" s="605"/>
      <c r="L116" s="605"/>
      <c r="M116" s="605"/>
      <c r="N116" s="606"/>
      <c r="O116" s="605"/>
      <c r="P116" s="402"/>
    </row>
    <row r="117" spans="1:17" x14ac:dyDescent="0.3">
      <c r="A117" s="404"/>
      <c r="B117" s="487"/>
      <c r="C117" s="406"/>
      <c r="D117" s="406"/>
      <c r="E117" s="406"/>
      <c r="F117" s="406"/>
      <c r="G117" s="406"/>
      <c r="H117" s="406"/>
      <c r="I117" s="406"/>
      <c r="J117" s="406"/>
      <c r="K117" s="406"/>
      <c r="L117" s="406"/>
      <c r="M117" s="406"/>
      <c r="N117" s="468"/>
      <c r="O117" s="406"/>
      <c r="P117" s="402"/>
    </row>
    <row r="118" spans="1:17" x14ac:dyDescent="0.3">
      <c r="A118" s="404"/>
      <c r="B118" s="578" t="s">
        <v>39</v>
      </c>
      <c r="C118" s="406"/>
      <c r="D118" s="406"/>
      <c r="E118" s="406"/>
      <c r="F118" s="406"/>
      <c r="G118" s="406"/>
      <c r="H118" s="406"/>
      <c r="I118" s="406"/>
      <c r="J118" s="406"/>
      <c r="K118" s="406"/>
      <c r="L118" s="406"/>
      <c r="M118" s="406"/>
      <c r="N118" s="468"/>
      <c r="O118" s="406"/>
      <c r="P118" s="402"/>
    </row>
    <row r="119" spans="1:17" s="419" customFormat="1" x14ac:dyDescent="0.3">
      <c r="A119" s="427"/>
      <c r="B119" s="428" t="s">
        <v>40</v>
      </c>
      <c r="C119" s="428"/>
      <c r="D119" s="428"/>
      <c r="E119" s="428"/>
      <c r="F119" s="428"/>
      <c r="G119" s="428"/>
      <c r="H119" s="428"/>
      <c r="I119" s="428"/>
      <c r="J119" s="428"/>
      <c r="K119" s="428"/>
      <c r="L119" s="428"/>
      <c r="M119" s="428"/>
      <c r="N119" s="470">
        <f>N28*0.003</f>
        <v>805.80000000000007</v>
      </c>
      <c r="O119" s="430"/>
      <c r="P119" s="418"/>
    </row>
    <row r="120" spans="1:17" s="419" customFormat="1" x14ac:dyDescent="0.3">
      <c r="A120" s="427"/>
      <c r="B120" s="428" t="s">
        <v>41</v>
      </c>
      <c r="C120" s="428"/>
      <c r="D120" s="428"/>
      <c r="E120" s="428"/>
      <c r="F120" s="428"/>
      <c r="G120" s="428"/>
      <c r="H120" s="428"/>
      <c r="I120" s="428"/>
      <c r="J120" s="428"/>
      <c r="K120" s="428"/>
      <c r="L120" s="428"/>
      <c r="M120" s="428"/>
      <c r="N120" s="470">
        <v>806</v>
      </c>
      <c r="O120" s="430"/>
      <c r="P120" s="418"/>
    </row>
    <row r="121" spans="1:17" s="419" customFormat="1" x14ac:dyDescent="0.3">
      <c r="A121" s="427"/>
      <c r="B121" s="428" t="s">
        <v>132</v>
      </c>
      <c r="C121" s="428"/>
      <c r="D121" s="428"/>
      <c r="E121" s="428"/>
      <c r="F121" s="428"/>
      <c r="G121" s="428"/>
      <c r="H121" s="428"/>
      <c r="I121" s="428"/>
      <c r="J121" s="428"/>
      <c r="K121" s="428"/>
      <c r="L121" s="428"/>
      <c r="M121" s="428"/>
      <c r="N121" s="470">
        <v>0</v>
      </c>
      <c r="O121" s="430"/>
      <c r="P121" s="418"/>
    </row>
    <row r="122" spans="1:17" s="419" customFormat="1" x14ac:dyDescent="0.3">
      <c r="A122" s="427"/>
      <c r="B122" s="428" t="s">
        <v>221</v>
      </c>
      <c r="C122" s="428"/>
      <c r="D122" s="428"/>
      <c r="E122" s="428"/>
      <c r="F122" s="428"/>
      <c r="G122" s="428"/>
      <c r="H122" s="428"/>
      <c r="I122" s="428"/>
      <c r="J122" s="428"/>
      <c r="K122" s="428"/>
      <c r="L122" s="428"/>
      <c r="M122" s="428"/>
      <c r="N122" s="470">
        <v>0</v>
      </c>
      <c r="O122" s="430"/>
      <c r="P122" s="418"/>
    </row>
    <row r="123" spans="1:17" s="419" customFormat="1" x14ac:dyDescent="0.3">
      <c r="A123" s="427"/>
      <c r="B123" s="428" t="s">
        <v>222</v>
      </c>
      <c r="C123" s="428"/>
      <c r="D123" s="428"/>
      <c r="E123" s="428"/>
      <c r="F123" s="428"/>
      <c r="G123" s="428"/>
      <c r="H123" s="428"/>
      <c r="I123" s="428"/>
      <c r="J123" s="428"/>
      <c r="K123" s="428"/>
      <c r="L123" s="428"/>
      <c r="M123" s="428"/>
      <c r="N123" s="470">
        <v>0</v>
      </c>
      <c r="O123" s="430"/>
      <c r="P123" s="418"/>
    </row>
    <row r="124" spans="1:17" s="419" customFormat="1" x14ac:dyDescent="0.3">
      <c r="A124" s="427"/>
      <c r="B124" s="428" t="s">
        <v>223</v>
      </c>
      <c r="C124" s="428"/>
      <c r="D124" s="428"/>
      <c r="E124" s="428"/>
      <c r="F124" s="428"/>
      <c r="G124" s="428"/>
      <c r="H124" s="428"/>
      <c r="I124" s="428"/>
      <c r="J124" s="428"/>
      <c r="K124" s="428"/>
      <c r="L124" s="428"/>
      <c r="M124" s="428"/>
      <c r="N124" s="470">
        <v>0</v>
      </c>
      <c r="O124" s="430"/>
      <c r="P124" s="418"/>
    </row>
    <row r="125" spans="1:17" s="419" customFormat="1" x14ac:dyDescent="0.3">
      <c r="A125" s="427"/>
      <c r="B125" s="428" t="s">
        <v>42</v>
      </c>
      <c r="C125" s="428"/>
      <c r="D125" s="428"/>
      <c r="E125" s="428"/>
      <c r="F125" s="428"/>
      <c r="G125" s="428"/>
      <c r="H125" s="428"/>
      <c r="I125" s="428"/>
      <c r="J125" s="428"/>
      <c r="K125" s="428"/>
      <c r="L125" s="428"/>
      <c r="M125" s="428"/>
      <c r="N125" s="470">
        <v>0</v>
      </c>
      <c r="O125" s="430"/>
      <c r="P125" s="418"/>
    </row>
    <row r="126" spans="1:17" s="419" customFormat="1" x14ac:dyDescent="0.3">
      <c r="A126" s="427"/>
      <c r="B126" s="428" t="s">
        <v>125</v>
      </c>
      <c r="C126" s="428"/>
      <c r="D126" s="428"/>
      <c r="E126" s="428"/>
      <c r="F126" s="428"/>
      <c r="G126" s="428"/>
      <c r="H126" s="428"/>
      <c r="I126" s="428"/>
      <c r="J126" s="428"/>
      <c r="K126" s="428"/>
      <c r="L126" s="428"/>
      <c r="M126" s="428"/>
      <c r="N126" s="470">
        <v>0</v>
      </c>
      <c r="O126" s="430"/>
      <c r="P126" s="418"/>
    </row>
    <row r="127" spans="1:17" s="419" customFormat="1" x14ac:dyDescent="0.3">
      <c r="A127" s="427"/>
      <c r="B127" s="428" t="s">
        <v>225</v>
      </c>
      <c r="C127" s="428"/>
      <c r="D127" s="428"/>
      <c r="E127" s="428"/>
      <c r="F127" s="428"/>
      <c r="G127" s="428"/>
      <c r="H127" s="428"/>
      <c r="I127" s="428"/>
      <c r="J127" s="428"/>
      <c r="K127" s="428"/>
      <c r="L127" s="428"/>
      <c r="M127" s="428"/>
      <c r="N127" s="470">
        <v>0</v>
      </c>
      <c r="O127" s="430"/>
      <c r="P127" s="418"/>
      <c r="Q127" s="482"/>
    </row>
    <row r="128" spans="1:17" s="419" customFormat="1" x14ac:dyDescent="0.3">
      <c r="A128" s="427"/>
      <c r="B128" s="428" t="s">
        <v>43</v>
      </c>
      <c r="C128" s="428"/>
      <c r="D128" s="428"/>
      <c r="E128" s="428"/>
      <c r="F128" s="428"/>
      <c r="G128" s="428"/>
      <c r="H128" s="428"/>
      <c r="I128" s="428"/>
      <c r="J128" s="428"/>
      <c r="K128" s="428"/>
      <c r="L128" s="428"/>
      <c r="M128" s="428"/>
      <c r="N128" s="470">
        <f>SUM(N120:N127)</f>
        <v>806</v>
      </c>
      <c r="O128" s="430"/>
      <c r="P128" s="418"/>
    </row>
    <row r="129" spans="1:16" x14ac:dyDescent="0.3">
      <c r="A129" s="442"/>
      <c r="B129" s="443"/>
      <c r="C129" s="443"/>
      <c r="D129" s="443"/>
      <c r="E129" s="443"/>
      <c r="F129" s="443"/>
      <c r="G129" s="443"/>
      <c r="H129" s="443"/>
      <c r="I129" s="443"/>
      <c r="J129" s="443"/>
      <c r="K129" s="443"/>
      <c r="L129" s="443"/>
      <c r="M129" s="443"/>
      <c r="N129" s="481"/>
      <c r="O129" s="445"/>
      <c r="P129" s="402"/>
    </row>
    <row r="130" spans="1:16" x14ac:dyDescent="0.3">
      <c r="A130" s="442"/>
      <c r="B130" s="577" t="s">
        <v>179</v>
      </c>
      <c r="C130" s="443"/>
      <c r="D130" s="443"/>
      <c r="E130" s="443"/>
      <c r="F130" s="443"/>
      <c r="G130" s="443"/>
      <c r="H130" s="443"/>
      <c r="I130" s="443"/>
      <c r="J130" s="443"/>
      <c r="K130" s="443"/>
      <c r="L130" s="443"/>
      <c r="M130" s="443"/>
      <c r="N130" s="481"/>
      <c r="O130" s="445"/>
      <c r="P130" s="402"/>
    </row>
    <row r="131" spans="1:16" s="419" customFormat="1" x14ac:dyDescent="0.3">
      <c r="A131" s="427"/>
      <c r="B131" s="428" t="s">
        <v>144</v>
      </c>
      <c r="C131" s="428"/>
      <c r="D131" s="428"/>
      <c r="E131" s="428"/>
      <c r="F131" s="428"/>
      <c r="G131" s="428"/>
      <c r="H131" s="428"/>
      <c r="I131" s="428"/>
      <c r="J131" s="428"/>
      <c r="K131" s="428"/>
      <c r="L131" s="428"/>
      <c r="M131" s="428"/>
      <c r="N131" s="470">
        <v>7098</v>
      </c>
      <c r="O131" s="430"/>
      <c r="P131" s="418"/>
    </row>
    <row r="132" spans="1:16" s="419" customFormat="1" x14ac:dyDescent="0.3">
      <c r="A132" s="427"/>
      <c r="B132" s="428" t="s">
        <v>159</v>
      </c>
      <c r="C132" s="428"/>
      <c r="D132" s="428"/>
      <c r="E132" s="428"/>
      <c r="F132" s="428"/>
      <c r="G132" s="428"/>
      <c r="H132" s="428"/>
      <c r="I132" s="428"/>
      <c r="J132" s="428"/>
      <c r="K132" s="428"/>
      <c r="L132" s="428"/>
      <c r="M132" s="428"/>
      <c r="N132" s="470">
        <v>0</v>
      </c>
      <c r="O132" s="430"/>
      <c r="P132" s="418"/>
    </row>
    <row r="133" spans="1:16" s="419" customFormat="1" x14ac:dyDescent="0.3">
      <c r="A133" s="427"/>
      <c r="B133" s="428" t="s">
        <v>278</v>
      </c>
      <c r="C133" s="428"/>
      <c r="D133" s="428"/>
      <c r="E133" s="428"/>
      <c r="F133" s="428"/>
      <c r="G133" s="428"/>
      <c r="H133" s="428"/>
      <c r="I133" s="428"/>
      <c r="J133" s="428"/>
      <c r="K133" s="428"/>
      <c r="L133" s="428"/>
      <c r="M133" s="428"/>
      <c r="N133" s="470">
        <v>0</v>
      </c>
      <c r="O133" s="430"/>
      <c r="P133" s="418"/>
    </row>
    <row r="134" spans="1:16" x14ac:dyDescent="0.3">
      <c r="A134" s="442"/>
      <c r="B134" s="443"/>
      <c r="C134" s="443"/>
      <c r="D134" s="443"/>
      <c r="E134" s="443"/>
      <c r="F134" s="443"/>
      <c r="G134" s="443"/>
      <c r="H134" s="443"/>
      <c r="I134" s="443"/>
      <c r="J134" s="443"/>
      <c r="K134" s="443"/>
      <c r="L134" s="443"/>
      <c r="M134" s="443"/>
      <c r="N134" s="481"/>
      <c r="O134" s="445"/>
      <c r="P134" s="402"/>
    </row>
    <row r="135" spans="1:16" x14ac:dyDescent="0.3">
      <c r="A135" s="404"/>
      <c r="B135" s="471"/>
      <c r="C135" s="471"/>
      <c r="D135" s="471"/>
      <c r="E135" s="471"/>
      <c r="F135" s="471"/>
      <c r="G135" s="471"/>
      <c r="H135" s="471"/>
      <c r="I135" s="471"/>
      <c r="J135" s="471"/>
      <c r="K135" s="471"/>
      <c r="L135" s="471"/>
      <c r="M135" s="471"/>
      <c r="N135" s="488"/>
      <c r="O135" s="471"/>
      <c r="P135" s="402"/>
    </row>
    <row r="136" spans="1:16" x14ac:dyDescent="0.3">
      <c r="A136" s="404"/>
      <c r="B136" s="578" t="s">
        <v>22</v>
      </c>
      <c r="C136" s="406"/>
      <c r="D136" s="406"/>
      <c r="E136" s="406"/>
      <c r="F136" s="406"/>
      <c r="G136" s="406"/>
      <c r="H136" s="406"/>
      <c r="I136" s="406"/>
      <c r="J136" s="406"/>
      <c r="K136" s="406"/>
      <c r="L136" s="406"/>
      <c r="M136" s="406"/>
      <c r="N136" s="468"/>
      <c r="O136" s="406"/>
      <c r="P136" s="402"/>
    </row>
    <row r="137" spans="1:16" s="419" customFormat="1" x14ac:dyDescent="0.3">
      <c r="A137" s="427"/>
      <c r="B137" s="428" t="s">
        <v>44</v>
      </c>
      <c r="C137" s="428"/>
      <c r="D137" s="428"/>
      <c r="E137" s="428"/>
      <c r="F137" s="428"/>
      <c r="G137" s="428"/>
      <c r="H137" s="428"/>
      <c r="I137" s="428"/>
      <c r="J137" s="428"/>
      <c r="K137" s="428"/>
      <c r="L137" s="428"/>
      <c r="M137" s="428"/>
      <c r="N137" s="489" t="s">
        <v>117</v>
      </c>
      <c r="O137" s="430"/>
      <c r="P137" s="418"/>
    </row>
    <row r="138" spans="1:16" s="419" customFormat="1" x14ac:dyDescent="0.3">
      <c r="A138" s="427"/>
      <c r="B138" s="428" t="s">
        <v>45</v>
      </c>
      <c r="C138" s="428"/>
      <c r="D138" s="428"/>
      <c r="E138" s="428"/>
      <c r="F138" s="428"/>
      <c r="G138" s="428"/>
      <c r="H138" s="428"/>
      <c r="I138" s="428"/>
      <c r="J138" s="428"/>
      <c r="K138" s="428"/>
      <c r="L138" s="428"/>
      <c r="M138" s="428"/>
      <c r="N138" s="489" t="s">
        <v>117</v>
      </c>
      <c r="O138" s="430"/>
      <c r="P138" s="418"/>
    </row>
    <row r="139" spans="1:16" s="419" customFormat="1" x14ac:dyDescent="0.3">
      <c r="A139" s="427"/>
      <c r="B139" s="428" t="s">
        <v>46</v>
      </c>
      <c r="C139" s="428"/>
      <c r="D139" s="428"/>
      <c r="E139" s="428"/>
      <c r="F139" s="428"/>
      <c r="G139" s="428"/>
      <c r="H139" s="428"/>
      <c r="I139" s="428"/>
      <c r="J139" s="428"/>
      <c r="K139" s="428"/>
      <c r="L139" s="428"/>
      <c r="M139" s="428"/>
      <c r="N139" s="489" t="s">
        <v>117</v>
      </c>
      <c r="O139" s="430"/>
      <c r="P139" s="418"/>
    </row>
    <row r="140" spans="1:16" s="419" customFormat="1" x14ac:dyDescent="0.3">
      <c r="A140" s="427"/>
      <c r="B140" s="428" t="s">
        <v>47</v>
      </c>
      <c r="C140" s="428"/>
      <c r="D140" s="428"/>
      <c r="E140" s="428"/>
      <c r="F140" s="428"/>
      <c r="G140" s="428"/>
      <c r="H140" s="428"/>
      <c r="I140" s="428"/>
      <c r="J140" s="428"/>
      <c r="K140" s="428"/>
      <c r="L140" s="428"/>
      <c r="M140" s="428"/>
      <c r="N140" s="489" t="s">
        <v>117</v>
      </c>
      <c r="O140" s="430"/>
      <c r="P140" s="418"/>
    </row>
    <row r="141" spans="1:16" x14ac:dyDescent="0.3">
      <c r="A141" s="404"/>
      <c r="B141" s="471"/>
      <c r="C141" s="471"/>
      <c r="D141" s="471"/>
      <c r="E141" s="471"/>
      <c r="F141" s="471"/>
      <c r="G141" s="471"/>
      <c r="H141" s="471"/>
      <c r="I141" s="471"/>
      <c r="J141" s="471"/>
      <c r="K141" s="471"/>
      <c r="L141" s="471"/>
      <c r="M141" s="471"/>
      <c r="N141" s="488"/>
      <c r="O141" s="471"/>
      <c r="P141" s="402"/>
    </row>
    <row r="142" spans="1:16" x14ac:dyDescent="0.3">
      <c r="A142" s="404"/>
      <c r="B142" s="578" t="s">
        <v>48</v>
      </c>
      <c r="C142" s="406"/>
      <c r="D142" s="406"/>
      <c r="E142" s="406"/>
      <c r="F142" s="406"/>
      <c r="G142" s="406"/>
      <c r="H142" s="406"/>
      <c r="I142" s="406"/>
      <c r="J142" s="406"/>
      <c r="K142" s="406"/>
      <c r="L142" s="406"/>
      <c r="M142" s="406"/>
      <c r="N142" s="490"/>
      <c r="O142" s="406"/>
      <c r="P142" s="402"/>
    </row>
    <row r="143" spans="1:16" s="419" customFormat="1" x14ac:dyDescent="0.3">
      <c r="A143" s="427"/>
      <c r="B143" s="428" t="s">
        <v>49</v>
      </c>
      <c r="C143" s="428"/>
      <c r="D143" s="428"/>
      <c r="E143" s="428"/>
      <c r="F143" s="428"/>
      <c r="G143" s="428"/>
      <c r="H143" s="428"/>
      <c r="I143" s="428"/>
      <c r="J143" s="428"/>
      <c r="K143" s="428"/>
      <c r="L143" s="428"/>
      <c r="M143" s="428"/>
      <c r="N143" s="470">
        <v>0</v>
      </c>
      <c r="O143" s="430"/>
      <c r="P143" s="418"/>
    </row>
    <row r="144" spans="1:16" s="419" customFormat="1" x14ac:dyDescent="0.3">
      <c r="A144" s="427"/>
      <c r="B144" s="428" t="s">
        <v>50</v>
      </c>
      <c r="C144" s="428"/>
      <c r="D144" s="428"/>
      <c r="E144" s="428"/>
      <c r="F144" s="428"/>
      <c r="G144" s="428"/>
      <c r="H144" s="428"/>
      <c r="I144" s="428"/>
      <c r="J144" s="428"/>
      <c r="K144" s="428"/>
      <c r="L144" s="428"/>
      <c r="M144" s="428"/>
      <c r="N144" s="470">
        <v>0</v>
      </c>
      <c r="O144" s="430"/>
      <c r="P144" s="418"/>
    </row>
    <row r="145" spans="1:256" s="419" customFormat="1" x14ac:dyDescent="0.3">
      <c r="A145" s="427"/>
      <c r="B145" s="428" t="s">
        <v>51</v>
      </c>
      <c r="C145" s="428"/>
      <c r="D145" s="428"/>
      <c r="E145" s="428"/>
      <c r="F145" s="428"/>
      <c r="G145" s="428"/>
      <c r="H145" s="428"/>
      <c r="I145" s="428"/>
      <c r="J145" s="428"/>
      <c r="K145" s="428"/>
      <c r="L145" s="428"/>
      <c r="M145" s="428"/>
      <c r="N145" s="470">
        <f>+N143+N144</f>
        <v>0</v>
      </c>
      <c r="O145" s="430"/>
      <c r="P145" s="418"/>
    </row>
    <row r="146" spans="1:256" s="419" customFormat="1" x14ac:dyDescent="0.3">
      <c r="A146" s="427"/>
      <c r="B146" s="428" t="s">
        <v>264</v>
      </c>
      <c r="C146" s="428"/>
      <c r="D146" s="428"/>
      <c r="E146" s="428"/>
      <c r="F146" s="428"/>
      <c r="G146" s="428"/>
      <c r="H146" s="428"/>
      <c r="I146" s="428"/>
      <c r="J146" s="428"/>
      <c r="K146" s="428"/>
      <c r="L146" s="428"/>
      <c r="M146" s="428"/>
      <c r="N146" s="470">
        <f>N98</f>
        <v>0</v>
      </c>
      <c r="O146" s="430"/>
      <c r="P146" s="418"/>
    </row>
    <row r="147" spans="1:256" s="419" customFormat="1" x14ac:dyDescent="0.3">
      <c r="A147" s="427"/>
      <c r="B147" s="428" t="s">
        <v>52</v>
      </c>
      <c r="C147" s="428"/>
      <c r="D147" s="428"/>
      <c r="E147" s="428"/>
      <c r="F147" s="428"/>
      <c r="G147" s="428"/>
      <c r="H147" s="428"/>
      <c r="I147" s="428"/>
      <c r="J147" s="428"/>
      <c r="K147" s="428"/>
      <c r="L147" s="428"/>
      <c r="M147" s="428"/>
      <c r="N147" s="470">
        <f>N145+N146</f>
        <v>0</v>
      </c>
      <c r="O147" s="430"/>
      <c r="P147" s="418"/>
    </row>
    <row r="148" spans="1:256" ht="16.2" thickBot="1" x14ac:dyDescent="0.35">
      <c r="A148" s="404"/>
      <c r="B148" s="471"/>
      <c r="C148" s="471"/>
      <c r="D148" s="471"/>
      <c r="E148" s="471"/>
      <c r="F148" s="471"/>
      <c r="G148" s="471"/>
      <c r="H148" s="471"/>
      <c r="I148" s="471"/>
      <c r="J148" s="471"/>
      <c r="K148" s="471"/>
      <c r="L148" s="471"/>
      <c r="M148" s="471"/>
      <c r="N148" s="488"/>
      <c r="O148" s="471"/>
      <c r="P148" s="402"/>
    </row>
    <row r="149" spans="1:256" x14ac:dyDescent="0.3">
      <c r="A149" s="399"/>
      <c r="B149" s="401"/>
      <c r="C149" s="401"/>
      <c r="D149" s="401"/>
      <c r="E149" s="401"/>
      <c r="F149" s="401"/>
      <c r="G149" s="401"/>
      <c r="H149" s="401"/>
      <c r="I149" s="401"/>
      <c r="J149" s="401"/>
      <c r="K149" s="401"/>
      <c r="L149" s="401"/>
      <c r="M149" s="401"/>
      <c r="N149" s="491"/>
      <c r="O149" s="401"/>
      <c r="P149" s="402"/>
    </row>
    <row r="150" spans="1:256" x14ac:dyDescent="0.3">
      <c r="A150" s="404"/>
      <c r="B150" s="578" t="s">
        <v>53</v>
      </c>
      <c r="C150" s="406"/>
      <c r="D150" s="406"/>
      <c r="E150" s="406"/>
      <c r="F150" s="406"/>
      <c r="G150" s="406"/>
      <c r="H150" s="406"/>
      <c r="I150" s="406"/>
      <c r="J150" s="406"/>
      <c r="K150" s="406"/>
      <c r="L150" s="406"/>
      <c r="M150" s="406"/>
      <c r="N150" s="468"/>
      <c r="O150" s="406"/>
      <c r="P150" s="402"/>
    </row>
    <row r="151" spans="1:256" x14ac:dyDescent="0.3">
      <c r="A151" s="404"/>
      <c r="B151" s="487"/>
      <c r="C151" s="406"/>
      <c r="D151" s="406"/>
      <c r="E151" s="406"/>
      <c r="F151" s="406"/>
      <c r="G151" s="406"/>
      <c r="H151" s="406"/>
      <c r="I151" s="406"/>
      <c r="J151" s="406"/>
      <c r="K151" s="406"/>
      <c r="L151" s="406"/>
      <c r="M151" s="406"/>
      <c r="N151" s="468"/>
      <c r="O151" s="406"/>
      <c r="P151" s="402"/>
    </row>
    <row r="152" spans="1:256" s="419" customFormat="1" x14ac:dyDescent="0.3">
      <c r="A152" s="427"/>
      <c r="B152" s="428" t="s">
        <v>234</v>
      </c>
      <c r="C152" s="428"/>
      <c r="D152" s="428"/>
      <c r="E152" s="428"/>
      <c r="F152" s="428"/>
      <c r="G152" s="428"/>
      <c r="H152" s="428"/>
      <c r="I152" s="428"/>
      <c r="J152" s="428"/>
      <c r="K152" s="428"/>
      <c r="L152" s="428"/>
      <c r="M152" s="428"/>
      <c r="N152" s="470">
        <f>N56</f>
        <v>10860</v>
      </c>
      <c r="O152" s="430"/>
      <c r="P152" s="418"/>
      <c r="Q152" s="482"/>
    </row>
    <row r="153" spans="1:256" s="419" customFormat="1" x14ac:dyDescent="0.3">
      <c r="A153" s="427"/>
      <c r="B153" s="428" t="s">
        <v>54</v>
      </c>
      <c r="C153" s="428"/>
      <c r="D153" s="428"/>
      <c r="E153" s="428"/>
      <c r="F153" s="428"/>
      <c r="G153" s="428"/>
      <c r="H153" s="428"/>
      <c r="I153" s="428"/>
      <c r="J153" s="428"/>
      <c r="K153" s="428"/>
      <c r="L153" s="428"/>
      <c r="M153" s="428"/>
      <c r="N153" s="470">
        <f>N72</f>
        <v>10860</v>
      </c>
      <c r="O153" s="430"/>
      <c r="P153" s="418"/>
    </row>
    <row r="154" spans="1:256" ht="16.2" thickBot="1" x14ac:dyDescent="0.35">
      <c r="A154" s="404"/>
      <c r="B154" s="471"/>
      <c r="C154" s="471"/>
      <c r="D154" s="471"/>
      <c r="E154" s="471"/>
      <c r="F154" s="471"/>
      <c r="G154" s="471"/>
      <c r="H154" s="471"/>
      <c r="I154" s="471"/>
      <c r="J154" s="471"/>
      <c r="K154" s="471"/>
      <c r="L154" s="471"/>
      <c r="M154" s="471"/>
      <c r="N154" s="488"/>
      <c r="O154" s="471"/>
      <c r="P154" s="402"/>
    </row>
    <row r="155" spans="1:256" s="492" customFormat="1" x14ac:dyDescent="0.3">
      <c r="A155" s="399"/>
      <c r="B155" s="401"/>
      <c r="C155" s="401"/>
      <c r="D155" s="401"/>
      <c r="E155" s="401"/>
      <c r="F155" s="401"/>
      <c r="G155" s="401"/>
      <c r="H155" s="401"/>
      <c r="I155" s="401"/>
      <c r="J155" s="401"/>
      <c r="K155" s="401"/>
      <c r="L155" s="401"/>
      <c r="M155" s="401"/>
      <c r="N155" s="491"/>
      <c r="O155" s="401"/>
      <c r="P155" s="402"/>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c r="AN155" s="403"/>
      <c r="AO155" s="403"/>
      <c r="AP155" s="403"/>
      <c r="AQ155" s="403"/>
      <c r="AR155" s="403"/>
      <c r="AS155" s="403"/>
      <c r="AT155" s="403"/>
      <c r="AU155" s="403"/>
      <c r="AV155" s="403"/>
      <c r="AW155" s="403"/>
      <c r="AX155" s="403"/>
      <c r="AY155" s="403"/>
      <c r="AZ155" s="403"/>
      <c r="BA155" s="403"/>
      <c r="BB155" s="403"/>
      <c r="BC155" s="403"/>
      <c r="BD155" s="403"/>
      <c r="BE155" s="403"/>
      <c r="BF155" s="403"/>
      <c r="BG155" s="403"/>
      <c r="BH155" s="403"/>
      <c r="BI155" s="403"/>
      <c r="BJ155" s="403"/>
      <c r="BK155" s="403"/>
      <c r="BL155" s="403"/>
      <c r="BM155" s="403"/>
      <c r="BN155" s="403"/>
      <c r="BO155" s="403"/>
      <c r="BP155" s="403"/>
      <c r="BQ155" s="403"/>
      <c r="BR155" s="403"/>
      <c r="BS155" s="403"/>
      <c r="BT155" s="403"/>
      <c r="BU155" s="403"/>
      <c r="BV155" s="403"/>
      <c r="BW155" s="403"/>
      <c r="BX155" s="403"/>
      <c r="BY155" s="403"/>
      <c r="BZ155" s="403"/>
      <c r="CA155" s="403"/>
      <c r="CB155" s="403"/>
      <c r="CC155" s="403"/>
      <c r="CD155" s="403"/>
      <c r="CE155" s="403"/>
      <c r="CF155" s="403"/>
      <c r="CG155" s="403"/>
      <c r="CH155" s="403"/>
      <c r="CI155" s="403"/>
      <c r="CJ155" s="403"/>
      <c r="CK155" s="403"/>
      <c r="CL155" s="403"/>
      <c r="CM155" s="403"/>
      <c r="CN155" s="403"/>
      <c r="CO155" s="403"/>
      <c r="CP155" s="403"/>
      <c r="CQ155" s="403"/>
      <c r="CR155" s="403"/>
      <c r="CS155" s="403"/>
      <c r="CT155" s="403"/>
      <c r="CU155" s="403"/>
      <c r="CV155" s="403"/>
      <c r="CW155" s="403"/>
      <c r="CX155" s="403"/>
      <c r="CY155" s="403"/>
      <c r="CZ155" s="403"/>
      <c r="DA155" s="403"/>
      <c r="DB155" s="403"/>
      <c r="DC155" s="403"/>
      <c r="DD155" s="403"/>
      <c r="DE155" s="403"/>
      <c r="DF155" s="403"/>
      <c r="DG155" s="403"/>
      <c r="DH155" s="403"/>
      <c r="DI155" s="403"/>
      <c r="DJ155" s="403"/>
      <c r="DK155" s="403"/>
      <c r="DL155" s="403"/>
      <c r="DM155" s="403"/>
      <c r="DN155" s="403"/>
      <c r="DO155" s="403"/>
      <c r="DP155" s="403"/>
      <c r="DQ155" s="403"/>
      <c r="DR155" s="403"/>
      <c r="DS155" s="403"/>
      <c r="DT155" s="403"/>
      <c r="DU155" s="403"/>
      <c r="DV155" s="403"/>
      <c r="DW155" s="403"/>
      <c r="DX155" s="403"/>
      <c r="DY155" s="403"/>
      <c r="DZ155" s="403"/>
      <c r="EA155" s="403"/>
      <c r="EB155" s="403"/>
      <c r="EC155" s="403"/>
      <c r="ED155" s="403"/>
      <c r="EE155" s="403"/>
      <c r="EF155" s="403"/>
      <c r="EG155" s="403"/>
      <c r="EH155" s="403"/>
      <c r="EI155" s="403"/>
      <c r="EJ155" s="403"/>
      <c r="EK155" s="403"/>
      <c r="EL155" s="403"/>
      <c r="EM155" s="403"/>
      <c r="EN155" s="403"/>
      <c r="EO155" s="403"/>
      <c r="EP155" s="403"/>
      <c r="EQ155" s="403"/>
      <c r="ER155" s="403"/>
      <c r="ES155" s="403"/>
      <c r="ET155" s="403"/>
      <c r="EU155" s="403"/>
      <c r="EV155" s="403"/>
      <c r="EW155" s="403"/>
      <c r="EX155" s="403"/>
      <c r="EY155" s="403"/>
      <c r="EZ155" s="403"/>
      <c r="FA155" s="403"/>
      <c r="FB155" s="403"/>
      <c r="FC155" s="403"/>
      <c r="FD155" s="403"/>
      <c r="FE155" s="403"/>
      <c r="FF155" s="403"/>
      <c r="FG155" s="403"/>
      <c r="FH155" s="403"/>
      <c r="FI155" s="403"/>
      <c r="FJ155" s="403"/>
      <c r="FK155" s="403"/>
      <c r="FL155" s="403"/>
      <c r="FM155" s="403"/>
      <c r="FN155" s="403"/>
      <c r="FO155" s="403"/>
      <c r="FP155" s="403"/>
      <c r="FQ155" s="403"/>
      <c r="FR155" s="403"/>
      <c r="FS155" s="403"/>
      <c r="FT155" s="403"/>
      <c r="FU155" s="403"/>
      <c r="FV155" s="403"/>
      <c r="FW155" s="403"/>
      <c r="FX155" s="403"/>
      <c r="FY155" s="403"/>
      <c r="FZ155" s="403"/>
      <c r="GA155" s="403"/>
      <c r="GB155" s="403"/>
      <c r="GC155" s="403"/>
      <c r="GD155" s="403"/>
      <c r="GE155" s="403"/>
      <c r="GF155" s="403"/>
      <c r="GG155" s="403"/>
      <c r="GH155" s="403"/>
      <c r="GI155" s="403"/>
      <c r="GJ155" s="403"/>
      <c r="GK155" s="403"/>
      <c r="GL155" s="403"/>
      <c r="GM155" s="403"/>
      <c r="GN155" s="403"/>
      <c r="GO155" s="403"/>
      <c r="GP155" s="403"/>
      <c r="GQ155" s="403"/>
      <c r="GR155" s="403"/>
      <c r="GS155" s="403"/>
      <c r="GT155" s="403"/>
      <c r="GU155" s="403"/>
      <c r="GV155" s="403"/>
      <c r="GW155" s="403"/>
      <c r="GX155" s="403"/>
      <c r="GY155" s="403"/>
      <c r="GZ155" s="403"/>
      <c r="HA155" s="403"/>
      <c r="HB155" s="403"/>
      <c r="HC155" s="403"/>
      <c r="HD155" s="403"/>
      <c r="HE155" s="403"/>
      <c r="HF155" s="403"/>
      <c r="HG155" s="403"/>
      <c r="HH155" s="403"/>
      <c r="HI155" s="403"/>
      <c r="HJ155" s="403"/>
      <c r="HK155" s="403"/>
      <c r="HL155" s="403"/>
      <c r="HM155" s="403"/>
      <c r="HN155" s="403"/>
      <c r="HO155" s="403"/>
      <c r="HP155" s="403"/>
      <c r="HQ155" s="403"/>
      <c r="HR155" s="403"/>
      <c r="HS155" s="403"/>
      <c r="HT155" s="403"/>
      <c r="HU155" s="403"/>
      <c r="HV155" s="403"/>
      <c r="HW155" s="403"/>
      <c r="HX155" s="403"/>
      <c r="HY155" s="403"/>
      <c r="HZ155" s="403"/>
      <c r="IA155" s="403"/>
      <c r="IB155" s="403"/>
      <c r="IC155" s="403"/>
      <c r="ID155" s="403"/>
      <c r="IE155" s="403"/>
      <c r="IF155" s="403"/>
      <c r="IG155" s="403"/>
      <c r="IH155" s="403"/>
      <c r="II155" s="403"/>
      <c r="IJ155" s="403"/>
      <c r="IK155" s="403"/>
      <c r="IL155" s="403"/>
      <c r="IM155" s="403"/>
      <c r="IN155" s="403"/>
      <c r="IO155" s="403"/>
      <c r="IP155" s="403"/>
      <c r="IQ155" s="403"/>
      <c r="IR155" s="403"/>
      <c r="IS155" s="403"/>
      <c r="IT155" s="403"/>
      <c r="IU155" s="403"/>
      <c r="IV155" s="403"/>
    </row>
    <row r="156" spans="1:256" s="493" customFormat="1" x14ac:dyDescent="0.3">
      <c r="A156" s="404"/>
      <c r="B156" s="579" t="s">
        <v>205</v>
      </c>
      <c r="C156" s="471"/>
      <c r="D156" s="471"/>
      <c r="E156" s="471"/>
      <c r="F156" s="471"/>
      <c r="G156" s="471"/>
      <c r="H156" s="471"/>
      <c r="I156" s="471"/>
      <c r="J156" s="471"/>
      <c r="K156" s="471"/>
      <c r="L156" s="471"/>
      <c r="M156" s="471"/>
      <c r="N156" s="488"/>
      <c r="O156" s="471"/>
      <c r="P156" s="402"/>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c r="BM156" s="403"/>
      <c r="BN156" s="403"/>
      <c r="BO156" s="403"/>
      <c r="BP156" s="403"/>
      <c r="BQ156" s="403"/>
      <c r="BR156" s="403"/>
      <c r="BS156" s="403"/>
      <c r="BT156" s="403"/>
      <c r="BU156" s="403"/>
      <c r="BV156" s="403"/>
      <c r="BW156" s="403"/>
      <c r="BX156" s="403"/>
      <c r="BY156" s="403"/>
      <c r="BZ156" s="403"/>
      <c r="CA156" s="403"/>
      <c r="CB156" s="403"/>
      <c r="CC156" s="403"/>
      <c r="CD156" s="403"/>
      <c r="CE156" s="403"/>
      <c r="CF156" s="403"/>
      <c r="CG156" s="403"/>
      <c r="CH156" s="403"/>
      <c r="CI156" s="403"/>
      <c r="CJ156" s="403"/>
      <c r="CK156" s="403"/>
      <c r="CL156" s="403"/>
      <c r="CM156" s="403"/>
      <c r="CN156" s="403"/>
      <c r="CO156" s="403"/>
      <c r="CP156" s="403"/>
      <c r="CQ156" s="403"/>
      <c r="CR156" s="403"/>
      <c r="CS156" s="403"/>
      <c r="CT156" s="403"/>
      <c r="CU156" s="403"/>
      <c r="CV156" s="403"/>
      <c r="CW156" s="403"/>
      <c r="CX156" s="403"/>
      <c r="CY156" s="403"/>
      <c r="CZ156" s="403"/>
      <c r="DA156" s="403"/>
      <c r="DB156" s="403"/>
      <c r="DC156" s="403"/>
      <c r="DD156" s="403"/>
      <c r="DE156" s="403"/>
      <c r="DF156" s="403"/>
      <c r="DG156" s="403"/>
      <c r="DH156" s="403"/>
      <c r="DI156" s="403"/>
      <c r="DJ156" s="403"/>
      <c r="DK156" s="403"/>
      <c r="DL156" s="403"/>
      <c r="DM156" s="403"/>
      <c r="DN156" s="403"/>
      <c r="DO156" s="403"/>
      <c r="DP156" s="403"/>
      <c r="DQ156" s="403"/>
      <c r="DR156" s="403"/>
      <c r="DS156" s="403"/>
      <c r="DT156" s="403"/>
      <c r="DU156" s="403"/>
      <c r="DV156" s="403"/>
      <c r="DW156" s="403"/>
      <c r="DX156" s="403"/>
      <c r="DY156" s="403"/>
      <c r="DZ156" s="403"/>
      <c r="EA156" s="403"/>
      <c r="EB156" s="403"/>
      <c r="EC156" s="403"/>
      <c r="ED156" s="403"/>
      <c r="EE156" s="403"/>
      <c r="EF156" s="403"/>
      <c r="EG156" s="403"/>
      <c r="EH156" s="403"/>
      <c r="EI156" s="403"/>
      <c r="EJ156" s="403"/>
      <c r="EK156" s="403"/>
      <c r="EL156" s="403"/>
      <c r="EM156" s="403"/>
      <c r="EN156" s="403"/>
      <c r="EO156" s="403"/>
      <c r="EP156" s="403"/>
      <c r="EQ156" s="403"/>
      <c r="ER156" s="403"/>
      <c r="ES156" s="403"/>
      <c r="ET156" s="403"/>
      <c r="EU156" s="403"/>
      <c r="EV156" s="403"/>
      <c r="EW156" s="403"/>
      <c r="EX156" s="403"/>
      <c r="EY156" s="403"/>
      <c r="EZ156" s="403"/>
      <c r="FA156" s="403"/>
      <c r="FB156" s="403"/>
      <c r="FC156" s="403"/>
      <c r="FD156" s="403"/>
      <c r="FE156" s="403"/>
      <c r="FF156" s="403"/>
      <c r="FG156" s="403"/>
      <c r="FH156" s="403"/>
      <c r="FI156" s="403"/>
      <c r="FJ156" s="403"/>
      <c r="FK156" s="403"/>
      <c r="FL156" s="403"/>
      <c r="FM156" s="403"/>
      <c r="FN156" s="403"/>
      <c r="FO156" s="403"/>
      <c r="FP156" s="403"/>
      <c r="FQ156" s="403"/>
      <c r="FR156" s="403"/>
      <c r="FS156" s="403"/>
      <c r="FT156" s="403"/>
      <c r="FU156" s="403"/>
      <c r="FV156" s="403"/>
      <c r="FW156" s="403"/>
      <c r="FX156" s="403"/>
      <c r="FY156" s="403"/>
      <c r="FZ156" s="403"/>
      <c r="GA156" s="403"/>
      <c r="GB156" s="403"/>
      <c r="GC156" s="403"/>
      <c r="GD156" s="403"/>
      <c r="GE156" s="403"/>
      <c r="GF156" s="403"/>
      <c r="GG156" s="403"/>
      <c r="GH156" s="403"/>
      <c r="GI156" s="403"/>
      <c r="GJ156" s="403"/>
      <c r="GK156" s="403"/>
      <c r="GL156" s="403"/>
      <c r="GM156" s="403"/>
      <c r="GN156" s="403"/>
      <c r="GO156" s="403"/>
      <c r="GP156" s="403"/>
      <c r="GQ156" s="403"/>
      <c r="GR156" s="403"/>
      <c r="GS156" s="403"/>
      <c r="GT156" s="403"/>
      <c r="GU156" s="403"/>
      <c r="GV156" s="403"/>
      <c r="GW156" s="403"/>
      <c r="GX156" s="403"/>
      <c r="GY156" s="403"/>
      <c r="GZ156" s="403"/>
      <c r="HA156" s="403"/>
      <c r="HB156" s="403"/>
      <c r="HC156" s="403"/>
      <c r="HD156" s="403"/>
      <c r="HE156" s="403"/>
      <c r="HF156" s="403"/>
      <c r="HG156" s="403"/>
      <c r="HH156" s="403"/>
      <c r="HI156" s="403"/>
      <c r="HJ156" s="403"/>
      <c r="HK156" s="403"/>
      <c r="HL156" s="403"/>
      <c r="HM156" s="403"/>
      <c r="HN156" s="403"/>
      <c r="HO156" s="403"/>
      <c r="HP156" s="403"/>
      <c r="HQ156" s="403"/>
      <c r="HR156" s="403"/>
      <c r="HS156" s="403"/>
      <c r="HT156" s="403"/>
      <c r="HU156" s="403"/>
      <c r="HV156" s="403"/>
      <c r="HW156" s="403"/>
      <c r="HX156" s="403"/>
      <c r="HY156" s="403"/>
      <c r="HZ156" s="403"/>
      <c r="IA156" s="403"/>
      <c r="IB156" s="403"/>
      <c r="IC156" s="403"/>
      <c r="ID156" s="403"/>
      <c r="IE156" s="403"/>
      <c r="IF156" s="403"/>
      <c r="IG156" s="403"/>
      <c r="IH156" s="403"/>
      <c r="II156" s="403"/>
      <c r="IJ156" s="403"/>
      <c r="IK156" s="403"/>
      <c r="IL156" s="403"/>
      <c r="IM156" s="403"/>
      <c r="IN156" s="403"/>
      <c r="IO156" s="403"/>
      <c r="IP156" s="403"/>
      <c r="IQ156" s="403"/>
      <c r="IR156" s="403"/>
      <c r="IS156" s="403"/>
      <c r="IT156" s="403"/>
      <c r="IU156" s="403"/>
      <c r="IV156" s="403"/>
    </row>
    <row r="157" spans="1:256" x14ac:dyDescent="0.3">
      <c r="A157" s="404"/>
      <c r="B157" s="471"/>
      <c r="C157" s="471"/>
      <c r="D157" s="471"/>
      <c r="E157" s="471"/>
      <c r="F157" s="471"/>
      <c r="G157" s="471"/>
      <c r="H157" s="471"/>
      <c r="I157" s="471"/>
      <c r="J157" s="471"/>
      <c r="K157" s="471"/>
      <c r="L157" s="471"/>
      <c r="M157" s="471"/>
      <c r="N157" s="488"/>
      <c r="O157" s="471"/>
      <c r="P157" s="402"/>
    </row>
    <row r="158" spans="1:256" s="494" customFormat="1" x14ac:dyDescent="0.3">
      <c r="A158" s="427"/>
      <c r="B158" s="428" t="s">
        <v>206</v>
      </c>
      <c r="C158" s="428"/>
      <c r="D158" s="428"/>
      <c r="E158" s="428"/>
      <c r="F158" s="428"/>
      <c r="G158" s="428"/>
      <c r="H158" s="428"/>
      <c r="I158" s="428"/>
      <c r="J158" s="428"/>
      <c r="K158" s="428"/>
      <c r="L158" s="428"/>
      <c r="M158" s="428"/>
      <c r="N158" s="470">
        <f>+'Aug 18'!N161</f>
        <v>47</v>
      </c>
      <c r="O158" s="430"/>
      <c r="P158" s="418"/>
      <c r="Q158" s="419"/>
      <c r="R158" s="419"/>
      <c r="S158" s="419"/>
      <c r="T158" s="419"/>
      <c r="U158" s="419"/>
      <c r="V158" s="419"/>
      <c r="W158" s="419"/>
      <c r="X158" s="419"/>
      <c r="Y158" s="419"/>
      <c r="Z158" s="419"/>
      <c r="AA158" s="419"/>
      <c r="AB158" s="419"/>
      <c r="AC158" s="419"/>
      <c r="AD158" s="419"/>
      <c r="AE158" s="419"/>
      <c r="AF158" s="419"/>
      <c r="AG158" s="419"/>
      <c r="AH158" s="419"/>
      <c r="AI158" s="419"/>
      <c r="AJ158" s="419"/>
      <c r="AK158" s="419"/>
      <c r="AL158" s="419"/>
      <c r="AM158" s="419"/>
      <c r="AN158" s="419"/>
      <c r="AO158" s="419"/>
      <c r="AP158" s="419"/>
      <c r="AQ158" s="419"/>
      <c r="AR158" s="419"/>
      <c r="AS158" s="419"/>
      <c r="AT158" s="419"/>
      <c r="AU158" s="419"/>
      <c r="AV158" s="419"/>
      <c r="AW158" s="419"/>
      <c r="AX158" s="419"/>
      <c r="AY158" s="419"/>
      <c r="AZ158" s="419"/>
      <c r="BA158" s="419"/>
      <c r="BB158" s="419"/>
      <c r="BC158" s="419"/>
      <c r="BD158" s="419"/>
      <c r="BE158" s="419"/>
      <c r="BF158" s="419"/>
      <c r="BG158" s="419"/>
      <c r="BH158" s="419"/>
      <c r="BI158" s="419"/>
      <c r="BJ158" s="419"/>
      <c r="BK158" s="419"/>
      <c r="BL158" s="419"/>
      <c r="BM158" s="419"/>
      <c r="BN158" s="419"/>
      <c r="BO158" s="419"/>
      <c r="BP158" s="419"/>
      <c r="BQ158" s="419"/>
      <c r="BR158" s="419"/>
      <c r="BS158" s="419"/>
      <c r="BT158" s="419"/>
      <c r="BU158" s="419"/>
      <c r="BV158" s="419"/>
      <c r="BW158" s="419"/>
      <c r="BX158" s="419"/>
      <c r="BY158" s="419"/>
      <c r="BZ158" s="419"/>
      <c r="CA158" s="419"/>
      <c r="CB158" s="419"/>
      <c r="CC158" s="419"/>
      <c r="CD158" s="419"/>
      <c r="CE158" s="419"/>
      <c r="CF158" s="419"/>
      <c r="CG158" s="419"/>
      <c r="CH158" s="419"/>
      <c r="CI158" s="419"/>
      <c r="CJ158" s="419"/>
      <c r="CK158" s="419"/>
      <c r="CL158" s="419"/>
      <c r="CM158" s="419"/>
      <c r="CN158" s="419"/>
      <c r="CO158" s="419"/>
      <c r="CP158" s="419"/>
      <c r="CQ158" s="419"/>
      <c r="CR158" s="419"/>
      <c r="CS158" s="419"/>
      <c r="CT158" s="419"/>
      <c r="CU158" s="419"/>
      <c r="CV158" s="419"/>
      <c r="CW158" s="419"/>
      <c r="CX158" s="419"/>
      <c r="CY158" s="419"/>
      <c r="CZ158" s="419"/>
      <c r="DA158" s="419"/>
      <c r="DB158" s="419"/>
      <c r="DC158" s="419"/>
      <c r="DD158" s="419"/>
      <c r="DE158" s="419"/>
      <c r="DF158" s="419"/>
      <c r="DG158" s="419"/>
      <c r="DH158" s="419"/>
      <c r="DI158" s="419"/>
      <c r="DJ158" s="419"/>
      <c r="DK158" s="419"/>
      <c r="DL158" s="419"/>
      <c r="DM158" s="419"/>
      <c r="DN158" s="419"/>
      <c r="DO158" s="419"/>
      <c r="DP158" s="419"/>
      <c r="DQ158" s="419"/>
      <c r="DR158" s="419"/>
      <c r="DS158" s="419"/>
      <c r="DT158" s="419"/>
      <c r="DU158" s="419"/>
      <c r="DV158" s="419"/>
      <c r="DW158" s="419"/>
      <c r="DX158" s="419"/>
      <c r="DY158" s="419"/>
      <c r="DZ158" s="419"/>
      <c r="EA158" s="419"/>
      <c r="EB158" s="419"/>
      <c r="EC158" s="419"/>
      <c r="ED158" s="419"/>
      <c r="EE158" s="419"/>
      <c r="EF158" s="419"/>
      <c r="EG158" s="419"/>
      <c r="EH158" s="419"/>
      <c r="EI158" s="419"/>
      <c r="EJ158" s="419"/>
      <c r="EK158" s="419"/>
      <c r="EL158" s="419"/>
      <c r="EM158" s="419"/>
      <c r="EN158" s="419"/>
      <c r="EO158" s="419"/>
      <c r="EP158" s="419"/>
      <c r="EQ158" s="419"/>
      <c r="ER158" s="419"/>
      <c r="ES158" s="419"/>
      <c r="ET158" s="419"/>
      <c r="EU158" s="419"/>
      <c r="EV158" s="419"/>
      <c r="EW158" s="419"/>
      <c r="EX158" s="419"/>
      <c r="EY158" s="419"/>
      <c r="EZ158" s="419"/>
      <c r="FA158" s="419"/>
      <c r="FB158" s="419"/>
      <c r="FC158" s="419"/>
      <c r="FD158" s="419"/>
      <c r="FE158" s="419"/>
      <c r="FF158" s="419"/>
      <c r="FG158" s="419"/>
      <c r="FH158" s="419"/>
      <c r="FI158" s="419"/>
      <c r="FJ158" s="419"/>
      <c r="FK158" s="419"/>
      <c r="FL158" s="419"/>
      <c r="FM158" s="419"/>
      <c r="FN158" s="419"/>
      <c r="FO158" s="419"/>
      <c r="FP158" s="419"/>
      <c r="FQ158" s="419"/>
      <c r="FR158" s="419"/>
      <c r="FS158" s="419"/>
      <c r="FT158" s="419"/>
      <c r="FU158" s="419"/>
      <c r="FV158" s="419"/>
      <c r="FW158" s="419"/>
      <c r="FX158" s="419"/>
      <c r="FY158" s="419"/>
      <c r="FZ158" s="419"/>
      <c r="GA158" s="419"/>
      <c r="GB158" s="419"/>
      <c r="GC158" s="419"/>
      <c r="GD158" s="419"/>
      <c r="GE158" s="419"/>
      <c r="GF158" s="419"/>
      <c r="GG158" s="419"/>
      <c r="GH158" s="419"/>
      <c r="GI158" s="419"/>
      <c r="GJ158" s="419"/>
      <c r="GK158" s="419"/>
      <c r="GL158" s="419"/>
      <c r="GM158" s="419"/>
      <c r="GN158" s="419"/>
      <c r="GO158" s="419"/>
      <c r="GP158" s="419"/>
      <c r="GQ158" s="419"/>
      <c r="GR158" s="419"/>
      <c r="GS158" s="419"/>
      <c r="GT158" s="419"/>
      <c r="GU158" s="419"/>
      <c r="GV158" s="419"/>
      <c r="GW158" s="419"/>
      <c r="GX158" s="419"/>
      <c r="GY158" s="419"/>
      <c r="GZ158" s="419"/>
      <c r="HA158" s="419"/>
      <c r="HB158" s="419"/>
      <c r="HC158" s="419"/>
      <c r="HD158" s="419"/>
      <c r="HE158" s="419"/>
      <c r="HF158" s="419"/>
      <c r="HG158" s="419"/>
      <c r="HH158" s="419"/>
      <c r="HI158" s="419"/>
      <c r="HJ158" s="419"/>
      <c r="HK158" s="419"/>
      <c r="HL158" s="419"/>
      <c r="HM158" s="419"/>
      <c r="HN158" s="419"/>
      <c r="HO158" s="419"/>
      <c r="HP158" s="419"/>
      <c r="HQ158" s="419"/>
      <c r="HR158" s="419"/>
      <c r="HS158" s="419"/>
      <c r="HT158" s="419"/>
      <c r="HU158" s="419"/>
      <c r="HV158" s="419"/>
      <c r="HW158" s="419"/>
      <c r="HX158" s="419"/>
      <c r="HY158" s="419"/>
      <c r="HZ158" s="419"/>
      <c r="IA158" s="419"/>
      <c r="IB158" s="419"/>
      <c r="IC158" s="419"/>
      <c r="ID158" s="419"/>
      <c r="IE158" s="419"/>
      <c r="IF158" s="419"/>
      <c r="IG158" s="419"/>
      <c r="IH158" s="419"/>
      <c r="II158" s="419"/>
      <c r="IJ158" s="419"/>
      <c r="IK158" s="419"/>
      <c r="IL158" s="419"/>
      <c r="IM158" s="419"/>
      <c r="IN158" s="419"/>
      <c r="IO158" s="419"/>
      <c r="IP158" s="419"/>
      <c r="IQ158" s="419"/>
      <c r="IR158" s="419"/>
      <c r="IS158" s="419"/>
      <c r="IT158" s="419"/>
      <c r="IU158" s="419"/>
      <c r="IV158" s="419"/>
    </row>
    <row r="159" spans="1:256" s="495" customFormat="1" x14ac:dyDescent="0.3">
      <c r="A159" s="427"/>
      <c r="B159" s="428" t="s">
        <v>207</v>
      </c>
      <c r="C159" s="428"/>
      <c r="D159" s="428"/>
      <c r="E159" s="428"/>
      <c r="F159" s="428"/>
      <c r="G159" s="428"/>
      <c r="H159" s="428"/>
      <c r="I159" s="428"/>
      <c r="J159" s="428"/>
      <c r="K159" s="428"/>
      <c r="L159" s="428"/>
      <c r="M159" s="428"/>
      <c r="N159" s="470">
        <v>10</v>
      </c>
      <c r="O159" s="430"/>
      <c r="P159" s="418"/>
      <c r="Q159" s="419"/>
      <c r="R159" s="419"/>
      <c r="S159" s="419"/>
      <c r="T159" s="419"/>
      <c r="U159" s="419"/>
      <c r="V159" s="419"/>
      <c r="W159" s="419"/>
      <c r="X159" s="419"/>
      <c r="Y159" s="419"/>
      <c r="Z159" s="419"/>
      <c r="AA159" s="419"/>
      <c r="AB159" s="419"/>
      <c r="AC159" s="419"/>
      <c r="AD159" s="419"/>
      <c r="AE159" s="419"/>
      <c r="AF159" s="419"/>
      <c r="AG159" s="419"/>
      <c r="AH159" s="419"/>
      <c r="AI159" s="419"/>
      <c r="AJ159" s="419"/>
      <c r="AK159" s="419"/>
      <c r="AL159" s="419"/>
      <c r="AM159" s="419"/>
      <c r="AN159" s="419"/>
      <c r="AO159" s="419"/>
      <c r="AP159" s="419"/>
      <c r="AQ159" s="419"/>
      <c r="AR159" s="419"/>
      <c r="AS159" s="419"/>
      <c r="AT159" s="419"/>
      <c r="AU159" s="419"/>
      <c r="AV159" s="419"/>
      <c r="AW159" s="419"/>
      <c r="AX159" s="419"/>
      <c r="AY159" s="419"/>
      <c r="AZ159" s="419"/>
      <c r="BA159" s="419"/>
      <c r="BB159" s="419"/>
      <c r="BC159" s="419"/>
      <c r="BD159" s="419"/>
      <c r="BE159" s="419"/>
      <c r="BF159" s="419"/>
      <c r="BG159" s="419"/>
      <c r="BH159" s="419"/>
      <c r="BI159" s="419"/>
      <c r="BJ159" s="419"/>
      <c r="BK159" s="419"/>
      <c r="BL159" s="419"/>
      <c r="BM159" s="419"/>
      <c r="BN159" s="419"/>
      <c r="BO159" s="419"/>
      <c r="BP159" s="419"/>
      <c r="BQ159" s="419"/>
      <c r="BR159" s="419"/>
      <c r="BS159" s="419"/>
      <c r="BT159" s="419"/>
      <c r="BU159" s="419"/>
      <c r="BV159" s="419"/>
      <c r="BW159" s="419"/>
      <c r="BX159" s="419"/>
      <c r="BY159" s="419"/>
      <c r="BZ159" s="419"/>
      <c r="CA159" s="419"/>
      <c r="CB159" s="419"/>
      <c r="CC159" s="419"/>
      <c r="CD159" s="419"/>
      <c r="CE159" s="419"/>
      <c r="CF159" s="419"/>
      <c r="CG159" s="419"/>
      <c r="CH159" s="419"/>
      <c r="CI159" s="419"/>
      <c r="CJ159" s="419"/>
      <c r="CK159" s="419"/>
      <c r="CL159" s="419"/>
      <c r="CM159" s="419"/>
      <c r="CN159" s="419"/>
      <c r="CO159" s="419"/>
      <c r="CP159" s="419"/>
      <c r="CQ159" s="419"/>
      <c r="CR159" s="419"/>
      <c r="CS159" s="419"/>
      <c r="CT159" s="419"/>
      <c r="CU159" s="419"/>
      <c r="CV159" s="419"/>
      <c r="CW159" s="419"/>
      <c r="CX159" s="419"/>
      <c r="CY159" s="419"/>
      <c r="CZ159" s="419"/>
      <c r="DA159" s="419"/>
      <c r="DB159" s="419"/>
      <c r="DC159" s="419"/>
      <c r="DD159" s="419"/>
      <c r="DE159" s="419"/>
      <c r="DF159" s="419"/>
      <c r="DG159" s="419"/>
      <c r="DH159" s="419"/>
      <c r="DI159" s="419"/>
      <c r="DJ159" s="419"/>
      <c r="DK159" s="419"/>
      <c r="DL159" s="419"/>
      <c r="DM159" s="419"/>
      <c r="DN159" s="419"/>
      <c r="DO159" s="419"/>
      <c r="DP159" s="419"/>
      <c r="DQ159" s="419"/>
      <c r="DR159" s="419"/>
      <c r="DS159" s="419"/>
      <c r="DT159" s="419"/>
      <c r="DU159" s="419"/>
      <c r="DV159" s="419"/>
      <c r="DW159" s="419"/>
      <c r="DX159" s="419"/>
      <c r="DY159" s="419"/>
      <c r="DZ159" s="419"/>
      <c r="EA159" s="419"/>
      <c r="EB159" s="419"/>
      <c r="EC159" s="419"/>
      <c r="ED159" s="419"/>
      <c r="EE159" s="419"/>
      <c r="EF159" s="419"/>
      <c r="EG159" s="419"/>
      <c r="EH159" s="419"/>
      <c r="EI159" s="419"/>
      <c r="EJ159" s="419"/>
      <c r="EK159" s="419"/>
      <c r="EL159" s="419"/>
      <c r="EM159" s="419"/>
      <c r="EN159" s="419"/>
      <c r="EO159" s="419"/>
      <c r="EP159" s="419"/>
      <c r="EQ159" s="419"/>
      <c r="ER159" s="419"/>
      <c r="ES159" s="419"/>
      <c r="ET159" s="419"/>
      <c r="EU159" s="419"/>
      <c r="EV159" s="419"/>
      <c r="EW159" s="419"/>
      <c r="EX159" s="419"/>
      <c r="EY159" s="419"/>
      <c r="EZ159" s="419"/>
      <c r="FA159" s="419"/>
      <c r="FB159" s="419"/>
      <c r="FC159" s="419"/>
      <c r="FD159" s="419"/>
      <c r="FE159" s="419"/>
      <c r="FF159" s="419"/>
      <c r="FG159" s="419"/>
      <c r="FH159" s="419"/>
      <c r="FI159" s="419"/>
      <c r="FJ159" s="419"/>
      <c r="FK159" s="419"/>
      <c r="FL159" s="419"/>
      <c r="FM159" s="419"/>
      <c r="FN159" s="419"/>
      <c r="FO159" s="419"/>
      <c r="FP159" s="419"/>
      <c r="FQ159" s="419"/>
      <c r="FR159" s="419"/>
      <c r="FS159" s="419"/>
      <c r="FT159" s="419"/>
      <c r="FU159" s="419"/>
      <c r="FV159" s="419"/>
      <c r="FW159" s="419"/>
      <c r="FX159" s="419"/>
      <c r="FY159" s="419"/>
      <c r="FZ159" s="419"/>
      <c r="GA159" s="419"/>
      <c r="GB159" s="419"/>
      <c r="GC159" s="419"/>
      <c r="GD159" s="419"/>
      <c r="GE159" s="419"/>
      <c r="GF159" s="419"/>
      <c r="GG159" s="419"/>
      <c r="GH159" s="419"/>
      <c r="GI159" s="419"/>
      <c r="GJ159" s="419"/>
      <c r="GK159" s="419"/>
      <c r="GL159" s="419"/>
      <c r="GM159" s="419"/>
      <c r="GN159" s="419"/>
      <c r="GO159" s="419"/>
      <c r="GP159" s="419"/>
      <c r="GQ159" s="419"/>
      <c r="GR159" s="419"/>
      <c r="GS159" s="419"/>
      <c r="GT159" s="419"/>
      <c r="GU159" s="419"/>
      <c r="GV159" s="419"/>
      <c r="GW159" s="419"/>
      <c r="GX159" s="419"/>
      <c r="GY159" s="419"/>
      <c r="GZ159" s="419"/>
      <c r="HA159" s="419"/>
      <c r="HB159" s="419"/>
      <c r="HC159" s="419"/>
      <c r="HD159" s="419"/>
      <c r="HE159" s="419"/>
      <c r="HF159" s="419"/>
      <c r="HG159" s="419"/>
      <c r="HH159" s="419"/>
      <c r="HI159" s="419"/>
      <c r="HJ159" s="419"/>
      <c r="HK159" s="419"/>
      <c r="HL159" s="419"/>
      <c r="HM159" s="419"/>
      <c r="HN159" s="419"/>
      <c r="HO159" s="419"/>
      <c r="HP159" s="419"/>
      <c r="HQ159" s="419"/>
      <c r="HR159" s="419"/>
      <c r="HS159" s="419"/>
      <c r="HT159" s="419"/>
      <c r="HU159" s="419"/>
      <c r="HV159" s="419"/>
      <c r="HW159" s="419"/>
      <c r="HX159" s="419"/>
      <c r="HY159" s="419"/>
      <c r="HZ159" s="419"/>
      <c r="IA159" s="419"/>
      <c r="IB159" s="419"/>
      <c r="IC159" s="419"/>
      <c r="ID159" s="419"/>
      <c r="IE159" s="419"/>
      <c r="IF159" s="419"/>
      <c r="IG159" s="419"/>
      <c r="IH159" s="419"/>
      <c r="II159" s="419"/>
      <c r="IJ159" s="419"/>
      <c r="IK159" s="419"/>
      <c r="IL159" s="419"/>
      <c r="IM159" s="419"/>
      <c r="IN159" s="419"/>
      <c r="IO159" s="419"/>
      <c r="IP159" s="419"/>
      <c r="IQ159" s="419"/>
      <c r="IR159" s="419"/>
      <c r="IS159" s="419"/>
      <c r="IT159" s="419"/>
      <c r="IU159" s="419"/>
      <c r="IV159" s="419"/>
    </row>
    <row r="160" spans="1:256" s="496" customFormat="1" x14ac:dyDescent="0.3">
      <c r="A160" s="427"/>
      <c r="B160" s="428" t="s">
        <v>208</v>
      </c>
      <c r="C160" s="428"/>
      <c r="D160" s="428"/>
      <c r="E160" s="428"/>
      <c r="F160" s="428"/>
      <c r="G160" s="428"/>
      <c r="H160" s="428"/>
      <c r="I160" s="428"/>
      <c r="J160" s="428"/>
      <c r="K160" s="428"/>
      <c r="L160" s="428"/>
      <c r="M160" s="428"/>
      <c r="N160" s="470">
        <v>0</v>
      </c>
      <c r="O160" s="430"/>
      <c r="P160" s="418"/>
      <c r="Q160" s="419"/>
      <c r="R160" s="419"/>
      <c r="S160" s="419"/>
      <c r="T160" s="419"/>
      <c r="U160" s="419"/>
      <c r="V160" s="419"/>
      <c r="W160" s="419"/>
      <c r="X160" s="419"/>
      <c r="Y160" s="419"/>
      <c r="Z160" s="419"/>
      <c r="AA160" s="419"/>
      <c r="AB160" s="419"/>
      <c r="AC160" s="419"/>
      <c r="AD160" s="419"/>
      <c r="AE160" s="419"/>
      <c r="AF160" s="419"/>
      <c r="AG160" s="419"/>
      <c r="AH160" s="419"/>
      <c r="AI160" s="419"/>
      <c r="AJ160" s="419"/>
      <c r="AK160" s="419"/>
      <c r="AL160" s="419"/>
      <c r="AM160" s="419"/>
      <c r="AN160" s="419"/>
      <c r="AO160" s="419"/>
      <c r="AP160" s="419"/>
      <c r="AQ160" s="419"/>
      <c r="AR160" s="419"/>
      <c r="AS160" s="419"/>
      <c r="AT160" s="419"/>
      <c r="AU160" s="419"/>
      <c r="AV160" s="419"/>
      <c r="AW160" s="419"/>
      <c r="AX160" s="419"/>
      <c r="AY160" s="419"/>
      <c r="AZ160" s="419"/>
      <c r="BA160" s="419"/>
      <c r="BB160" s="419"/>
      <c r="BC160" s="419"/>
      <c r="BD160" s="419"/>
      <c r="BE160" s="419"/>
      <c r="BF160" s="419"/>
      <c r="BG160" s="419"/>
      <c r="BH160" s="419"/>
      <c r="BI160" s="419"/>
      <c r="BJ160" s="419"/>
      <c r="BK160" s="419"/>
      <c r="BL160" s="419"/>
      <c r="BM160" s="419"/>
      <c r="BN160" s="419"/>
      <c r="BO160" s="419"/>
      <c r="BP160" s="419"/>
      <c r="BQ160" s="419"/>
      <c r="BR160" s="419"/>
      <c r="BS160" s="419"/>
      <c r="BT160" s="419"/>
      <c r="BU160" s="419"/>
      <c r="BV160" s="419"/>
      <c r="BW160" s="419"/>
      <c r="BX160" s="419"/>
      <c r="BY160" s="419"/>
      <c r="BZ160" s="419"/>
      <c r="CA160" s="419"/>
      <c r="CB160" s="419"/>
      <c r="CC160" s="419"/>
      <c r="CD160" s="419"/>
      <c r="CE160" s="419"/>
      <c r="CF160" s="419"/>
      <c r="CG160" s="419"/>
      <c r="CH160" s="419"/>
      <c r="CI160" s="419"/>
      <c r="CJ160" s="419"/>
      <c r="CK160" s="419"/>
      <c r="CL160" s="419"/>
      <c r="CM160" s="419"/>
      <c r="CN160" s="419"/>
      <c r="CO160" s="419"/>
      <c r="CP160" s="419"/>
      <c r="CQ160" s="419"/>
      <c r="CR160" s="419"/>
      <c r="CS160" s="419"/>
      <c r="CT160" s="419"/>
      <c r="CU160" s="419"/>
      <c r="CV160" s="419"/>
      <c r="CW160" s="419"/>
      <c r="CX160" s="419"/>
      <c r="CY160" s="419"/>
      <c r="CZ160" s="419"/>
      <c r="DA160" s="419"/>
      <c r="DB160" s="419"/>
      <c r="DC160" s="419"/>
      <c r="DD160" s="419"/>
      <c r="DE160" s="419"/>
      <c r="DF160" s="419"/>
      <c r="DG160" s="419"/>
      <c r="DH160" s="419"/>
      <c r="DI160" s="419"/>
      <c r="DJ160" s="419"/>
      <c r="DK160" s="419"/>
      <c r="DL160" s="419"/>
      <c r="DM160" s="419"/>
      <c r="DN160" s="419"/>
      <c r="DO160" s="419"/>
      <c r="DP160" s="419"/>
      <c r="DQ160" s="419"/>
      <c r="DR160" s="419"/>
      <c r="DS160" s="419"/>
      <c r="DT160" s="419"/>
      <c r="DU160" s="419"/>
      <c r="DV160" s="419"/>
      <c r="DW160" s="419"/>
      <c r="DX160" s="419"/>
      <c r="DY160" s="419"/>
      <c r="DZ160" s="419"/>
      <c r="EA160" s="419"/>
      <c r="EB160" s="419"/>
      <c r="EC160" s="419"/>
      <c r="ED160" s="419"/>
      <c r="EE160" s="419"/>
      <c r="EF160" s="419"/>
      <c r="EG160" s="419"/>
      <c r="EH160" s="419"/>
      <c r="EI160" s="419"/>
      <c r="EJ160" s="419"/>
      <c r="EK160" s="419"/>
      <c r="EL160" s="419"/>
      <c r="EM160" s="419"/>
      <c r="EN160" s="419"/>
      <c r="EO160" s="419"/>
      <c r="EP160" s="419"/>
      <c r="EQ160" s="419"/>
      <c r="ER160" s="419"/>
      <c r="ES160" s="419"/>
      <c r="ET160" s="419"/>
      <c r="EU160" s="419"/>
      <c r="EV160" s="419"/>
      <c r="EW160" s="419"/>
      <c r="EX160" s="419"/>
      <c r="EY160" s="419"/>
      <c r="EZ160" s="419"/>
      <c r="FA160" s="419"/>
      <c r="FB160" s="419"/>
      <c r="FC160" s="419"/>
      <c r="FD160" s="419"/>
      <c r="FE160" s="419"/>
      <c r="FF160" s="419"/>
      <c r="FG160" s="419"/>
      <c r="FH160" s="419"/>
      <c r="FI160" s="419"/>
      <c r="FJ160" s="419"/>
      <c r="FK160" s="419"/>
      <c r="FL160" s="419"/>
      <c r="FM160" s="419"/>
      <c r="FN160" s="419"/>
      <c r="FO160" s="419"/>
      <c r="FP160" s="419"/>
      <c r="FQ160" s="419"/>
      <c r="FR160" s="419"/>
      <c r="FS160" s="419"/>
      <c r="FT160" s="419"/>
      <c r="FU160" s="419"/>
      <c r="FV160" s="419"/>
      <c r="FW160" s="419"/>
      <c r="FX160" s="419"/>
      <c r="FY160" s="419"/>
      <c r="FZ160" s="419"/>
      <c r="GA160" s="419"/>
      <c r="GB160" s="419"/>
      <c r="GC160" s="419"/>
      <c r="GD160" s="419"/>
      <c r="GE160" s="419"/>
      <c r="GF160" s="419"/>
      <c r="GG160" s="419"/>
      <c r="GH160" s="419"/>
      <c r="GI160" s="419"/>
      <c r="GJ160" s="419"/>
      <c r="GK160" s="419"/>
      <c r="GL160" s="419"/>
      <c r="GM160" s="419"/>
      <c r="GN160" s="419"/>
      <c r="GO160" s="419"/>
      <c r="GP160" s="419"/>
      <c r="GQ160" s="419"/>
      <c r="GR160" s="419"/>
      <c r="GS160" s="419"/>
      <c r="GT160" s="419"/>
      <c r="GU160" s="419"/>
      <c r="GV160" s="419"/>
      <c r="GW160" s="419"/>
      <c r="GX160" s="419"/>
      <c r="GY160" s="419"/>
      <c r="GZ160" s="419"/>
      <c r="HA160" s="419"/>
      <c r="HB160" s="419"/>
      <c r="HC160" s="419"/>
      <c r="HD160" s="419"/>
      <c r="HE160" s="419"/>
      <c r="HF160" s="419"/>
      <c r="HG160" s="419"/>
      <c r="HH160" s="419"/>
      <c r="HI160" s="419"/>
      <c r="HJ160" s="419"/>
      <c r="HK160" s="419"/>
      <c r="HL160" s="419"/>
      <c r="HM160" s="419"/>
      <c r="HN160" s="419"/>
      <c r="HO160" s="419"/>
      <c r="HP160" s="419"/>
      <c r="HQ160" s="419"/>
      <c r="HR160" s="419"/>
      <c r="HS160" s="419"/>
      <c r="HT160" s="419"/>
      <c r="HU160" s="419"/>
      <c r="HV160" s="419"/>
      <c r="HW160" s="419"/>
      <c r="HX160" s="419"/>
      <c r="HY160" s="419"/>
      <c r="HZ160" s="419"/>
      <c r="IA160" s="419"/>
      <c r="IB160" s="419"/>
      <c r="IC160" s="419"/>
      <c r="ID160" s="419"/>
      <c r="IE160" s="419"/>
      <c r="IF160" s="419"/>
      <c r="IG160" s="419"/>
      <c r="IH160" s="419"/>
      <c r="II160" s="419"/>
      <c r="IJ160" s="419"/>
      <c r="IK160" s="419"/>
      <c r="IL160" s="419"/>
      <c r="IM160" s="419"/>
      <c r="IN160" s="419"/>
      <c r="IO160" s="419"/>
      <c r="IP160" s="419"/>
      <c r="IQ160" s="419"/>
      <c r="IR160" s="419"/>
      <c r="IS160" s="419"/>
      <c r="IT160" s="419"/>
      <c r="IU160" s="419"/>
      <c r="IV160" s="419"/>
    </row>
    <row r="161" spans="1:256" s="497" customFormat="1" x14ac:dyDescent="0.3">
      <c r="A161" s="427"/>
      <c r="B161" s="428" t="s">
        <v>217</v>
      </c>
      <c r="C161" s="428"/>
      <c r="D161" s="428"/>
      <c r="E161" s="428"/>
      <c r="F161" s="428"/>
      <c r="G161" s="428"/>
      <c r="H161" s="428"/>
      <c r="I161" s="428"/>
      <c r="J161" s="428"/>
      <c r="K161" s="428"/>
      <c r="L161" s="428"/>
      <c r="M161" s="428"/>
      <c r="N161" s="470">
        <f>N158-N159-N160</f>
        <v>37</v>
      </c>
      <c r="O161" s="430"/>
      <c r="P161" s="418"/>
      <c r="Q161" s="419"/>
      <c r="R161" s="419"/>
      <c r="S161" s="419"/>
      <c r="T161" s="419"/>
      <c r="U161" s="419"/>
      <c r="V161" s="419"/>
      <c r="W161" s="419"/>
      <c r="X161" s="419"/>
      <c r="Y161" s="419"/>
      <c r="Z161" s="419"/>
      <c r="AA161" s="419"/>
      <c r="AB161" s="419"/>
      <c r="AC161" s="419"/>
      <c r="AD161" s="419"/>
      <c r="AE161" s="419"/>
      <c r="AF161" s="419"/>
      <c r="AG161" s="419"/>
      <c r="AH161" s="419"/>
      <c r="AI161" s="419"/>
      <c r="AJ161" s="419"/>
      <c r="AK161" s="419"/>
      <c r="AL161" s="419"/>
      <c r="AM161" s="419"/>
      <c r="AN161" s="419"/>
      <c r="AO161" s="419"/>
      <c r="AP161" s="419"/>
      <c r="AQ161" s="419"/>
      <c r="AR161" s="419"/>
      <c r="AS161" s="419"/>
      <c r="AT161" s="419"/>
      <c r="AU161" s="419"/>
      <c r="AV161" s="419"/>
      <c r="AW161" s="419"/>
      <c r="AX161" s="419"/>
      <c r="AY161" s="419"/>
      <c r="AZ161" s="419"/>
      <c r="BA161" s="419"/>
      <c r="BB161" s="419"/>
      <c r="BC161" s="419"/>
      <c r="BD161" s="419"/>
      <c r="BE161" s="419"/>
      <c r="BF161" s="419"/>
      <c r="BG161" s="419"/>
      <c r="BH161" s="419"/>
      <c r="BI161" s="419"/>
      <c r="BJ161" s="419"/>
      <c r="BK161" s="419"/>
      <c r="BL161" s="419"/>
      <c r="BM161" s="419"/>
      <c r="BN161" s="419"/>
      <c r="BO161" s="419"/>
      <c r="BP161" s="419"/>
      <c r="BQ161" s="419"/>
      <c r="BR161" s="419"/>
      <c r="BS161" s="419"/>
      <c r="BT161" s="419"/>
      <c r="BU161" s="419"/>
      <c r="BV161" s="419"/>
      <c r="BW161" s="419"/>
      <c r="BX161" s="419"/>
      <c r="BY161" s="419"/>
      <c r="BZ161" s="419"/>
      <c r="CA161" s="419"/>
      <c r="CB161" s="419"/>
      <c r="CC161" s="419"/>
      <c r="CD161" s="419"/>
      <c r="CE161" s="419"/>
      <c r="CF161" s="419"/>
      <c r="CG161" s="419"/>
      <c r="CH161" s="419"/>
      <c r="CI161" s="419"/>
      <c r="CJ161" s="419"/>
      <c r="CK161" s="419"/>
      <c r="CL161" s="419"/>
      <c r="CM161" s="419"/>
      <c r="CN161" s="419"/>
      <c r="CO161" s="419"/>
      <c r="CP161" s="419"/>
      <c r="CQ161" s="419"/>
      <c r="CR161" s="419"/>
      <c r="CS161" s="419"/>
      <c r="CT161" s="419"/>
      <c r="CU161" s="419"/>
      <c r="CV161" s="419"/>
      <c r="CW161" s="419"/>
      <c r="CX161" s="419"/>
      <c r="CY161" s="419"/>
      <c r="CZ161" s="419"/>
      <c r="DA161" s="419"/>
      <c r="DB161" s="419"/>
      <c r="DC161" s="419"/>
      <c r="DD161" s="419"/>
      <c r="DE161" s="419"/>
      <c r="DF161" s="419"/>
      <c r="DG161" s="419"/>
      <c r="DH161" s="419"/>
      <c r="DI161" s="419"/>
      <c r="DJ161" s="419"/>
      <c r="DK161" s="419"/>
      <c r="DL161" s="419"/>
      <c r="DM161" s="419"/>
      <c r="DN161" s="419"/>
      <c r="DO161" s="419"/>
      <c r="DP161" s="419"/>
      <c r="DQ161" s="419"/>
      <c r="DR161" s="419"/>
      <c r="DS161" s="419"/>
      <c r="DT161" s="419"/>
      <c r="DU161" s="419"/>
      <c r="DV161" s="419"/>
      <c r="DW161" s="419"/>
      <c r="DX161" s="419"/>
      <c r="DY161" s="419"/>
      <c r="DZ161" s="419"/>
      <c r="EA161" s="419"/>
      <c r="EB161" s="419"/>
      <c r="EC161" s="419"/>
      <c r="ED161" s="419"/>
      <c r="EE161" s="419"/>
      <c r="EF161" s="419"/>
      <c r="EG161" s="419"/>
      <c r="EH161" s="419"/>
      <c r="EI161" s="419"/>
      <c r="EJ161" s="419"/>
      <c r="EK161" s="419"/>
      <c r="EL161" s="419"/>
      <c r="EM161" s="419"/>
      <c r="EN161" s="419"/>
      <c r="EO161" s="419"/>
      <c r="EP161" s="419"/>
      <c r="EQ161" s="419"/>
      <c r="ER161" s="419"/>
      <c r="ES161" s="419"/>
      <c r="ET161" s="419"/>
      <c r="EU161" s="419"/>
      <c r="EV161" s="419"/>
      <c r="EW161" s="419"/>
      <c r="EX161" s="419"/>
      <c r="EY161" s="419"/>
      <c r="EZ161" s="419"/>
      <c r="FA161" s="419"/>
      <c r="FB161" s="419"/>
      <c r="FC161" s="419"/>
      <c r="FD161" s="419"/>
      <c r="FE161" s="419"/>
      <c r="FF161" s="419"/>
      <c r="FG161" s="419"/>
      <c r="FH161" s="419"/>
      <c r="FI161" s="419"/>
      <c r="FJ161" s="419"/>
      <c r="FK161" s="419"/>
      <c r="FL161" s="419"/>
      <c r="FM161" s="419"/>
      <c r="FN161" s="419"/>
      <c r="FO161" s="419"/>
      <c r="FP161" s="419"/>
      <c r="FQ161" s="419"/>
      <c r="FR161" s="419"/>
      <c r="FS161" s="419"/>
      <c r="FT161" s="419"/>
      <c r="FU161" s="419"/>
      <c r="FV161" s="419"/>
      <c r="FW161" s="419"/>
      <c r="FX161" s="419"/>
      <c r="FY161" s="419"/>
      <c r="FZ161" s="419"/>
      <c r="GA161" s="419"/>
      <c r="GB161" s="419"/>
      <c r="GC161" s="419"/>
      <c r="GD161" s="419"/>
      <c r="GE161" s="419"/>
      <c r="GF161" s="419"/>
      <c r="GG161" s="419"/>
      <c r="GH161" s="419"/>
      <c r="GI161" s="419"/>
      <c r="GJ161" s="419"/>
      <c r="GK161" s="419"/>
      <c r="GL161" s="419"/>
      <c r="GM161" s="419"/>
      <c r="GN161" s="419"/>
      <c r="GO161" s="419"/>
      <c r="GP161" s="419"/>
      <c r="GQ161" s="419"/>
      <c r="GR161" s="419"/>
      <c r="GS161" s="419"/>
      <c r="GT161" s="419"/>
      <c r="GU161" s="419"/>
      <c r="GV161" s="419"/>
      <c r="GW161" s="419"/>
      <c r="GX161" s="419"/>
      <c r="GY161" s="419"/>
      <c r="GZ161" s="419"/>
      <c r="HA161" s="419"/>
      <c r="HB161" s="419"/>
      <c r="HC161" s="419"/>
      <c r="HD161" s="419"/>
      <c r="HE161" s="419"/>
      <c r="HF161" s="419"/>
      <c r="HG161" s="419"/>
      <c r="HH161" s="419"/>
      <c r="HI161" s="419"/>
      <c r="HJ161" s="419"/>
      <c r="HK161" s="419"/>
      <c r="HL161" s="419"/>
      <c r="HM161" s="419"/>
      <c r="HN161" s="419"/>
      <c r="HO161" s="419"/>
      <c r="HP161" s="419"/>
      <c r="HQ161" s="419"/>
      <c r="HR161" s="419"/>
      <c r="HS161" s="419"/>
      <c r="HT161" s="419"/>
      <c r="HU161" s="419"/>
      <c r="HV161" s="419"/>
      <c r="HW161" s="419"/>
      <c r="HX161" s="419"/>
      <c r="HY161" s="419"/>
      <c r="HZ161" s="419"/>
      <c r="IA161" s="419"/>
      <c r="IB161" s="419"/>
      <c r="IC161" s="419"/>
      <c r="ID161" s="419"/>
      <c r="IE161" s="419"/>
      <c r="IF161" s="419"/>
      <c r="IG161" s="419"/>
      <c r="IH161" s="419"/>
      <c r="II161" s="419"/>
      <c r="IJ161" s="419"/>
      <c r="IK161" s="419"/>
      <c r="IL161" s="419"/>
      <c r="IM161" s="419"/>
      <c r="IN161" s="419"/>
      <c r="IO161" s="419"/>
      <c r="IP161" s="419"/>
      <c r="IQ161" s="419"/>
      <c r="IR161" s="419"/>
      <c r="IS161" s="419"/>
      <c r="IT161" s="419"/>
      <c r="IU161" s="419"/>
      <c r="IV161" s="419"/>
    </row>
    <row r="162" spans="1:256" s="499" customFormat="1" ht="16.2" thickBot="1" x14ac:dyDescent="0.35">
      <c r="A162" s="404"/>
      <c r="B162" s="476"/>
      <c r="C162" s="476"/>
      <c r="D162" s="476"/>
      <c r="E162" s="476"/>
      <c r="F162" s="476"/>
      <c r="G162" s="476"/>
      <c r="H162" s="476"/>
      <c r="I162" s="476"/>
      <c r="J162" s="476"/>
      <c r="K162" s="476"/>
      <c r="L162" s="476"/>
      <c r="M162" s="476"/>
      <c r="N162" s="498"/>
      <c r="O162" s="476"/>
      <c r="P162" s="402"/>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c r="BT162" s="403"/>
      <c r="BU162" s="403"/>
      <c r="BV162" s="403"/>
      <c r="BW162" s="403"/>
      <c r="BX162" s="403"/>
      <c r="BY162" s="403"/>
      <c r="BZ162" s="403"/>
      <c r="CA162" s="403"/>
      <c r="CB162" s="403"/>
      <c r="CC162" s="403"/>
      <c r="CD162" s="403"/>
      <c r="CE162" s="403"/>
      <c r="CF162" s="403"/>
      <c r="CG162" s="403"/>
      <c r="CH162" s="403"/>
      <c r="CI162" s="403"/>
      <c r="CJ162" s="403"/>
      <c r="CK162" s="403"/>
      <c r="CL162" s="403"/>
      <c r="CM162" s="403"/>
      <c r="CN162" s="403"/>
      <c r="CO162" s="403"/>
      <c r="CP162" s="403"/>
      <c r="CQ162" s="403"/>
      <c r="CR162" s="403"/>
      <c r="CS162" s="403"/>
      <c r="CT162" s="403"/>
      <c r="CU162" s="403"/>
      <c r="CV162" s="403"/>
      <c r="CW162" s="403"/>
      <c r="CX162" s="403"/>
      <c r="CY162" s="403"/>
      <c r="CZ162" s="403"/>
      <c r="DA162" s="403"/>
      <c r="DB162" s="403"/>
      <c r="DC162" s="403"/>
      <c r="DD162" s="403"/>
      <c r="DE162" s="403"/>
      <c r="DF162" s="403"/>
      <c r="DG162" s="403"/>
      <c r="DH162" s="403"/>
      <c r="DI162" s="403"/>
      <c r="DJ162" s="403"/>
      <c r="DK162" s="403"/>
      <c r="DL162" s="403"/>
      <c r="DM162" s="403"/>
      <c r="DN162" s="403"/>
      <c r="DO162" s="403"/>
      <c r="DP162" s="403"/>
      <c r="DQ162" s="403"/>
      <c r="DR162" s="403"/>
      <c r="DS162" s="403"/>
      <c r="DT162" s="403"/>
      <c r="DU162" s="403"/>
      <c r="DV162" s="403"/>
      <c r="DW162" s="403"/>
      <c r="DX162" s="403"/>
      <c r="DY162" s="403"/>
      <c r="DZ162" s="403"/>
      <c r="EA162" s="403"/>
      <c r="EB162" s="403"/>
      <c r="EC162" s="403"/>
      <c r="ED162" s="403"/>
      <c r="EE162" s="403"/>
      <c r="EF162" s="403"/>
      <c r="EG162" s="403"/>
      <c r="EH162" s="403"/>
      <c r="EI162" s="403"/>
      <c r="EJ162" s="403"/>
      <c r="EK162" s="403"/>
      <c r="EL162" s="403"/>
      <c r="EM162" s="403"/>
      <c r="EN162" s="403"/>
      <c r="EO162" s="403"/>
      <c r="EP162" s="403"/>
      <c r="EQ162" s="403"/>
      <c r="ER162" s="403"/>
      <c r="ES162" s="403"/>
      <c r="ET162" s="403"/>
      <c r="EU162" s="403"/>
      <c r="EV162" s="403"/>
      <c r="EW162" s="403"/>
      <c r="EX162" s="403"/>
      <c r="EY162" s="403"/>
      <c r="EZ162" s="403"/>
      <c r="FA162" s="403"/>
      <c r="FB162" s="403"/>
      <c r="FC162" s="403"/>
      <c r="FD162" s="403"/>
      <c r="FE162" s="403"/>
      <c r="FF162" s="403"/>
      <c r="FG162" s="403"/>
      <c r="FH162" s="403"/>
      <c r="FI162" s="403"/>
      <c r="FJ162" s="403"/>
      <c r="FK162" s="403"/>
      <c r="FL162" s="403"/>
      <c r="FM162" s="403"/>
      <c r="FN162" s="403"/>
      <c r="FO162" s="403"/>
      <c r="FP162" s="403"/>
      <c r="FQ162" s="403"/>
      <c r="FR162" s="403"/>
      <c r="FS162" s="403"/>
      <c r="FT162" s="403"/>
      <c r="FU162" s="403"/>
      <c r="FV162" s="403"/>
      <c r="FW162" s="403"/>
      <c r="FX162" s="403"/>
      <c r="FY162" s="403"/>
      <c r="FZ162" s="403"/>
      <c r="GA162" s="403"/>
      <c r="GB162" s="403"/>
      <c r="GC162" s="403"/>
      <c r="GD162" s="403"/>
      <c r="GE162" s="403"/>
      <c r="GF162" s="403"/>
      <c r="GG162" s="403"/>
      <c r="GH162" s="403"/>
      <c r="GI162" s="403"/>
      <c r="GJ162" s="403"/>
      <c r="GK162" s="403"/>
      <c r="GL162" s="403"/>
      <c r="GM162" s="403"/>
      <c r="GN162" s="403"/>
      <c r="GO162" s="403"/>
      <c r="GP162" s="403"/>
      <c r="GQ162" s="403"/>
      <c r="GR162" s="403"/>
      <c r="GS162" s="403"/>
      <c r="GT162" s="403"/>
      <c r="GU162" s="403"/>
      <c r="GV162" s="403"/>
      <c r="GW162" s="403"/>
      <c r="GX162" s="403"/>
      <c r="GY162" s="403"/>
      <c r="GZ162" s="403"/>
      <c r="HA162" s="403"/>
      <c r="HB162" s="403"/>
      <c r="HC162" s="403"/>
      <c r="HD162" s="403"/>
      <c r="HE162" s="403"/>
      <c r="HF162" s="403"/>
      <c r="HG162" s="403"/>
      <c r="HH162" s="403"/>
      <c r="HI162" s="403"/>
      <c r="HJ162" s="403"/>
      <c r="HK162" s="403"/>
      <c r="HL162" s="403"/>
      <c r="HM162" s="403"/>
      <c r="HN162" s="403"/>
      <c r="HO162" s="403"/>
      <c r="HP162" s="403"/>
      <c r="HQ162" s="403"/>
      <c r="HR162" s="403"/>
      <c r="HS162" s="403"/>
      <c r="HT162" s="403"/>
      <c r="HU162" s="403"/>
      <c r="HV162" s="403"/>
      <c r="HW162" s="403"/>
      <c r="HX162" s="403"/>
      <c r="HY162" s="403"/>
      <c r="HZ162" s="403"/>
      <c r="IA162" s="403"/>
      <c r="IB162" s="403"/>
      <c r="IC162" s="403"/>
      <c r="ID162" s="403"/>
      <c r="IE162" s="403"/>
      <c r="IF162" s="403"/>
      <c r="IG162" s="403"/>
      <c r="IH162" s="403"/>
      <c r="II162" s="403"/>
      <c r="IJ162" s="403"/>
      <c r="IK162" s="403"/>
      <c r="IL162" s="403"/>
      <c r="IM162" s="403"/>
      <c r="IN162" s="403"/>
      <c r="IO162" s="403"/>
      <c r="IP162" s="403"/>
      <c r="IQ162" s="403"/>
      <c r="IR162" s="403"/>
      <c r="IS162" s="403"/>
      <c r="IT162" s="403"/>
      <c r="IU162" s="403"/>
      <c r="IV162" s="403"/>
    </row>
    <row r="163" spans="1:256" s="504" customFormat="1" x14ac:dyDescent="0.3">
      <c r="A163" s="500"/>
      <c r="B163" s="501"/>
      <c r="C163" s="501"/>
      <c r="D163" s="501"/>
      <c r="E163" s="501"/>
      <c r="F163" s="501"/>
      <c r="G163" s="501"/>
      <c r="H163" s="501"/>
      <c r="I163" s="501"/>
      <c r="J163" s="501"/>
      <c r="K163" s="501"/>
      <c r="L163" s="501"/>
      <c r="M163" s="501"/>
      <c r="N163" s="502"/>
      <c r="O163" s="501"/>
      <c r="P163" s="503"/>
    </row>
    <row r="164" spans="1:256" s="569" customFormat="1" x14ac:dyDescent="0.3">
      <c r="A164" s="572"/>
      <c r="B164" s="578" t="s">
        <v>55</v>
      </c>
      <c r="C164" s="576"/>
      <c r="D164" s="580"/>
      <c r="E164" s="580"/>
      <c r="F164" s="580"/>
      <c r="G164" s="580"/>
      <c r="H164" s="580"/>
      <c r="I164" s="580"/>
      <c r="J164" s="580"/>
      <c r="K164" s="580" t="s">
        <v>98</v>
      </c>
      <c r="L164" s="580" t="s">
        <v>226</v>
      </c>
      <c r="M164" s="408"/>
      <c r="N164" s="581" t="s">
        <v>114</v>
      </c>
      <c r="O164" s="408"/>
      <c r="P164" s="568"/>
    </row>
    <row r="165" spans="1:256" s="419" customFormat="1" x14ac:dyDescent="0.3">
      <c r="A165" s="427"/>
      <c r="B165" s="428" t="s">
        <v>56</v>
      </c>
      <c r="C165" s="428"/>
      <c r="D165" s="428"/>
      <c r="E165" s="428"/>
      <c r="F165" s="428"/>
      <c r="G165" s="428"/>
      <c r="H165" s="428"/>
      <c r="I165" s="428"/>
      <c r="J165" s="428"/>
      <c r="K165" s="470" t="s">
        <v>117</v>
      </c>
      <c r="L165" s="449" t="s">
        <v>117</v>
      </c>
      <c r="M165" s="428"/>
      <c r="N165" s="470"/>
      <c r="O165" s="430"/>
      <c r="P165" s="418"/>
    </row>
    <row r="166" spans="1:256" s="419" customFormat="1" x14ac:dyDescent="0.3">
      <c r="A166" s="427"/>
      <c r="B166" s="428" t="s">
        <v>57</v>
      </c>
      <c r="C166" s="428"/>
      <c r="D166" s="428"/>
      <c r="E166" s="428"/>
      <c r="F166" s="428"/>
      <c r="G166" s="428"/>
      <c r="H166" s="428"/>
      <c r="I166" s="428"/>
      <c r="J166" s="428"/>
      <c r="K166" s="470">
        <v>0</v>
      </c>
      <c r="L166" s="470">
        <f>+'Aug 18'!L168</f>
        <v>19642</v>
      </c>
      <c r="M166" s="428"/>
      <c r="N166" s="470">
        <f>K166+L166</f>
        <v>19642</v>
      </c>
      <c r="O166" s="430"/>
      <c r="P166" s="418"/>
    </row>
    <row r="167" spans="1:256" s="419" customFormat="1" x14ac:dyDescent="0.3">
      <c r="A167" s="427"/>
      <c r="B167" s="428" t="s">
        <v>58</v>
      </c>
      <c r="C167" s="428"/>
      <c r="D167" s="428"/>
      <c r="E167" s="428"/>
      <c r="F167" s="428"/>
      <c r="G167" s="428"/>
      <c r="H167" s="428"/>
      <c r="I167" s="428"/>
      <c r="J167" s="428"/>
      <c r="K167" s="469">
        <v>0</v>
      </c>
      <c r="L167" s="469">
        <f>-L107</f>
        <v>0</v>
      </c>
      <c r="M167" s="428"/>
      <c r="N167" s="470">
        <f>K167+L167</f>
        <v>0</v>
      </c>
      <c r="O167" s="430"/>
      <c r="P167" s="418"/>
    </row>
    <row r="168" spans="1:256" s="419" customFormat="1" x14ac:dyDescent="0.3">
      <c r="A168" s="427"/>
      <c r="B168" s="428" t="s">
        <v>59</v>
      </c>
      <c r="C168" s="428"/>
      <c r="D168" s="428"/>
      <c r="E168" s="428"/>
      <c r="F168" s="428"/>
      <c r="G168" s="428"/>
      <c r="H168" s="428"/>
      <c r="I168" s="428"/>
      <c r="J168" s="428"/>
      <c r="K168" s="470">
        <f>K166+K167</f>
        <v>0</v>
      </c>
      <c r="L168" s="470">
        <f>L167+L166</f>
        <v>19642</v>
      </c>
      <c r="M168" s="428"/>
      <c r="N168" s="470">
        <f>K168+L168</f>
        <v>19642</v>
      </c>
      <c r="O168" s="430"/>
      <c r="P168" s="418"/>
    </row>
    <row r="169" spans="1:256" s="419" customFormat="1" x14ac:dyDescent="0.3">
      <c r="A169" s="427"/>
      <c r="B169" s="428" t="s">
        <v>60</v>
      </c>
      <c r="C169" s="428"/>
      <c r="D169" s="428"/>
      <c r="E169" s="428"/>
      <c r="F169" s="428"/>
      <c r="G169" s="428"/>
      <c r="H169" s="428"/>
      <c r="I169" s="428"/>
      <c r="J169" s="428"/>
      <c r="K169" s="470" t="s">
        <v>117</v>
      </c>
      <c r="L169" s="449" t="s">
        <v>117</v>
      </c>
      <c r="M169" s="428"/>
      <c r="N169" s="470"/>
      <c r="O169" s="430"/>
      <c r="P169" s="418"/>
    </row>
    <row r="170" spans="1:256" ht="16.2" thickBot="1" x14ac:dyDescent="0.35">
      <c r="A170" s="404"/>
      <c r="B170" s="471"/>
      <c r="C170" s="471"/>
      <c r="D170" s="471"/>
      <c r="E170" s="471"/>
      <c r="F170" s="471"/>
      <c r="G170" s="471"/>
      <c r="H170" s="471"/>
      <c r="I170" s="471"/>
      <c r="J170" s="471"/>
      <c r="K170" s="471"/>
      <c r="L170" s="471"/>
      <c r="M170" s="471"/>
      <c r="N170" s="488"/>
      <c r="O170" s="471"/>
      <c r="P170" s="402"/>
    </row>
    <row r="171" spans="1:256" x14ac:dyDescent="0.3">
      <c r="A171" s="399"/>
      <c r="B171" s="401"/>
      <c r="C171" s="401"/>
      <c r="D171" s="401"/>
      <c r="E171" s="401"/>
      <c r="F171" s="401"/>
      <c r="G171" s="401"/>
      <c r="H171" s="401"/>
      <c r="I171" s="401"/>
      <c r="J171" s="401"/>
      <c r="K171" s="401"/>
      <c r="L171" s="401"/>
      <c r="M171" s="401"/>
      <c r="N171" s="491"/>
      <c r="O171" s="401"/>
      <c r="P171" s="402"/>
    </row>
    <row r="172" spans="1:256" x14ac:dyDescent="0.3">
      <c r="A172" s="404"/>
      <c r="B172" s="578" t="s">
        <v>61</v>
      </c>
      <c r="C172" s="406"/>
      <c r="D172" s="406"/>
      <c r="E172" s="406"/>
      <c r="F172" s="406"/>
      <c r="G172" s="406"/>
      <c r="H172" s="406"/>
      <c r="I172" s="406"/>
      <c r="J172" s="406"/>
      <c r="K172" s="406"/>
      <c r="L172" s="406"/>
      <c r="M172" s="406"/>
      <c r="N172" s="505"/>
      <c r="O172" s="406"/>
      <c r="P172" s="402"/>
    </row>
    <row r="173" spans="1:256" s="419" customFormat="1" x14ac:dyDescent="0.3">
      <c r="A173" s="427"/>
      <c r="B173" s="428" t="s">
        <v>62</v>
      </c>
      <c r="C173" s="428"/>
      <c r="D173" s="428"/>
      <c r="E173" s="428"/>
      <c r="F173" s="428"/>
      <c r="G173" s="428"/>
      <c r="H173" s="428"/>
      <c r="I173" s="428"/>
      <c r="J173" s="428"/>
      <c r="K173" s="428"/>
      <c r="L173" s="428"/>
      <c r="M173" s="428"/>
      <c r="N173" s="489">
        <f>(N87+N89+N90+N91+N92)/-N93</f>
        <v>5.041666666666667</v>
      </c>
      <c r="O173" s="430" t="s">
        <v>115</v>
      </c>
      <c r="P173" s="418"/>
    </row>
    <row r="174" spans="1:256" s="419" customFormat="1" x14ac:dyDescent="0.3">
      <c r="A174" s="427"/>
      <c r="B174" s="428" t="s">
        <v>63</v>
      </c>
      <c r="C174" s="428"/>
      <c r="D174" s="428"/>
      <c r="E174" s="428"/>
      <c r="F174" s="428"/>
      <c r="G174" s="428"/>
      <c r="H174" s="428"/>
      <c r="I174" s="428"/>
      <c r="J174" s="428"/>
      <c r="K174" s="428"/>
      <c r="L174" s="428"/>
      <c r="M174" s="428"/>
      <c r="N174" s="506">
        <v>2.25</v>
      </c>
      <c r="O174" s="430" t="s">
        <v>115</v>
      </c>
      <c r="P174" s="418"/>
    </row>
    <row r="175" spans="1:256" s="419" customFormat="1" x14ac:dyDescent="0.3">
      <c r="A175" s="427"/>
      <c r="B175" s="428" t="s">
        <v>64</v>
      </c>
      <c r="C175" s="428"/>
      <c r="D175" s="428"/>
      <c r="E175" s="428"/>
      <c r="F175" s="428"/>
      <c r="G175" s="428"/>
      <c r="H175" s="428"/>
      <c r="I175" s="428"/>
      <c r="J175" s="428"/>
      <c r="K175" s="428"/>
      <c r="L175" s="428"/>
      <c r="M175" s="428"/>
      <c r="N175" s="489">
        <f>(N87+N89+N90+N91+N92+N93)/-N95</f>
        <v>19.399999999999999</v>
      </c>
      <c r="O175" s="430" t="s">
        <v>115</v>
      </c>
      <c r="P175" s="418"/>
    </row>
    <row r="176" spans="1:256" s="419" customFormat="1" x14ac:dyDescent="0.3">
      <c r="A176" s="427"/>
      <c r="B176" s="428" t="s">
        <v>65</v>
      </c>
      <c r="C176" s="428"/>
      <c r="D176" s="428"/>
      <c r="E176" s="428"/>
      <c r="F176" s="428"/>
      <c r="G176" s="428"/>
      <c r="H176" s="428"/>
      <c r="I176" s="428"/>
      <c r="J176" s="428"/>
      <c r="K176" s="428"/>
      <c r="L176" s="428"/>
      <c r="M176" s="428"/>
      <c r="N176" s="506">
        <v>50.91</v>
      </c>
      <c r="O176" s="430" t="s">
        <v>115</v>
      </c>
      <c r="P176" s="418"/>
    </row>
    <row r="177" spans="1:16" s="419" customFormat="1" x14ac:dyDescent="0.3">
      <c r="A177" s="427"/>
      <c r="B177" s="428" t="s">
        <v>166</v>
      </c>
      <c r="C177" s="428"/>
      <c r="D177" s="428"/>
      <c r="E177" s="428"/>
      <c r="F177" s="428"/>
      <c r="G177" s="428"/>
      <c r="H177" s="428"/>
      <c r="I177" s="428"/>
      <c r="J177" s="428"/>
      <c r="K177" s="428"/>
      <c r="L177" s="428"/>
      <c r="M177" s="428"/>
      <c r="N177" s="489">
        <f>(N87+N89+N90+N91+N92+N93+N95)/-N96</f>
        <v>18.399999999999999</v>
      </c>
      <c r="O177" s="430" t="s">
        <v>115</v>
      </c>
      <c r="P177" s="418"/>
    </row>
    <row r="178" spans="1:16" s="419" customFormat="1" x14ac:dyDescent="0.3">
      <c r="A178" s="427"/>
      <c r="B178" s="428" t="s">
        <v>167</v>
      </c>
      <c r="C178" s="428"/>
      <c r="D178" s="428"/>
      <c r="E178" s="428"/>
      <c r="F178" s="428"/>
      <c r="G178" s="428"/>
      <c r="H178" s="428"/>
      <c r="I178" s="428"/>
      <c r="J178" s="428"/>
      <c r="K178" s="428"/>
      <c r="L178" s="428"/>
      <c r="M178" s="428"/>
      <c r="N178" s="506">
        <v>47.57</v>
      </c>
      <c r="O178" s="430" t="s">
        <v>115</v>
      </c>
      <c r="P178" s="418"/>
    </row>
    <row r="179" spans="1:16" s="419" customFormat="1" x14ac:dyDescent="0.3">
      <c r="A179" s="507"/>
      <c r="B179" s="508"/>
      <c r="C179" s="508"/>
      <c r="D179" s="508"/>
      <c r="E179" s="508"/>
      <c r="F179" s="508"/>
      <c r="G179" s="508"/>
      <c r="H179" s="508"/>
      <c r="I179" s="508"/>
      <c r="J179" s="508"/>
      <c r="K179" s="508"/>
      <c r="L179" s="508"/>
      <c r="M179" s="508"/>
      <c r="N179" s="508"/>
      <c r="O179" s="509"/>
      <c r="P179" s="418"/>
    </row>
    <row r="180" spans="1:16" s="419" customFormat="1" x14ac:dyDescent="0.3">
      <c r="A180" s="415"/>
      <c r="B180" s="458"/>
      <c r="C180" s="458"/>
      <c r="D180" s="458"/>
      <c r="E180" s="458"/>
      <c r="F180" s="458"/>
      <c r="G180" s="458"/>
      <c r="H180" s="458"/>
      <c r="I180" s="458"/>
      <c r="J180" s="458"/>
      <c r="K180" s="458"/>
      <c r="L180" s="458"/>
      <c r="M180" s="458"/>
      <c r="N180" s="458"/>
      <c r="O180" s="458"/>
      <c r="P180" s="418"/>
    </row>
    <row r="181" spans="1:16" s="419" customFormat="1" x14ac:dyDescent="0.3">
      <c r="A181" s="415"/>
      <c r="B181" s="416"/>
      <c r="C181" s="416"/>
      <c r="D181" s="416"/>
      <c r="E181" s="416"/>
      <c r="F181" s="416"/>
      <c r="G181" s="416"/>
      <c r="H181" s="416"/>
      <c r="I181" s="416"/>
      <c r="J181" s="416"/>
      <c r="K181" s="416"/>
      <c r="L181" s="416"/>
      <c r="M181" s="416"/>
      <c r="N181" s="416"/>
      <c r="O181" s="416"/>
      <c r="P181" s="418"/>
    </row>
    <row r="182" spans="1:16" s="419" customFormat="1" ht="18.600000000000001" thickBot="1" x14ac:dyDescent="0.4">
      <c r="A182" s="463"/>
      <c r="B182" s="464" t="str">
        <f>B115</f>
        <v>FF7 INVESTOR REPORT QUARTER ENDING NOVEMBER 2018</v>
      </c>
      <c r="C182" s="465"/>
      <c r="D182" s="465"/>
      <c r="E182" s="465"/>
      <c r="F182" s="465"/>
      <c r="G182" s="465"/>
      <c r="H182" s="465"/>
      <c r="I182" s="465"/>
      <c r="J182" s="465"/>
      <c r="K182" s="465"/>
      <c r="L182" s="465"/>
      <c r="M182" s="465"/>
      <c r="N182" s="465"/>
      <c r="O182" s="467"/>
      <c r="P182" s="418"/>
    </row>
    <row r="183" spans="1:16" x14ac:dyDescent="0.3">
      <c r="A183" s="603"/>
      <c r="B183" s="604" t="s">
        <v>66</v>
      </c>
      <c r="C183" s="607"/>
      <c r="D183" s="608"/>
      <c r="E183" s="608"/>
      <c r="F183" s="608"/>
      <c r="G183" s="608"/>
      <c r="H183" s="608"/>
      <c r="I183" s="608"/>
      <c r="J183" s="608"/>
      <c r="K183" s="608"/>
      <c r="L183" s="608">
        <v>43434</v>
      </c>
      <c r="M183" s="605"/>
      <c r="N183" s="605"/>
      <c r="O183" s="605"/>
      <c r="P183" s="402"/>
    </row>
    <row r="184" spans="1:16" x14ac:dyDescent="0.3">
      <c r="A184" s="510"/>
      <c r="B184" s="511"/>
      <c r="C184" s="512"/>
      <c r="D184" s="513"/>
      <c r="E184" s="513"/>
      <c r="F184" s="513"/>
      <c r="G184" s="513"/>
      <c r="H184" s="513"/>
      <c r="I184" s="513"/>
      <c r="J184" s="513"/>
      <c r="K184" s="513"/>
      <c r="L184" s="513"/>
      <c r="M184" s="478"/>
      <c r="N184" s="478"/>
      <c r="O184" s="478"/>
      <c r="P184" s="402"/>
    </row>
    <row r="185" spans="1:16" s="419" customFormat="1" x14ac:dyDescent="0.3">
      <c r="A185" s="427"/>
      <c r="B185" s="428" t="s">
        <v>67</v>
      </c>
      <c r="C185" s="514"/>
      <c r="D185" s="452"/>
      <c r="E185" s="452"/>
      <c r="F185" s="452"/>
      <c r="G185" s="452"/>
      <c r="H185" s="452"/>
      <c r="I185" s="452"/>
      <c r="J185" s="452"/>
      <c r="K185" s="452"/>
      <c r="L185" s="446">
        <v>7.2950000000000001E-2</v>
      </c>
      <c r="M185" s="428"/>
      <c r="N185" s="428"/>
      <c r="O185" s="430"/>
      <c r="P185" s="418"/>
    </row>
    <row r="186" spans="1:16" s="419" customFormat="1" x14ac:dyDescent="0.3">
      <c r="A186" s="427"/>
      <c r="B186" s="428" t="s">
        <v>213</v>
      </c>
      <c r="C186" s="514"/>
      <c r="D186" s="452"/>
      <c r="E186" s="452"/>
      <c r="F186" s="452"/>
      <c r="G186" s="452"/>
      <c r="H186" s="452"/>
      <c r="I186" s="452"/>
      <c r="J186" s="452"/>
      <c r="K186" s="452"/>
      <c r="L186" s="446">
        <v>5.79E-2</v>
      </c>
      <c r="M186" s="428"/>
      <c r="N186" s="428"/>
      <c r="O186" s="430"/>
      <c r="P186" s="418"/>
    </row>
    <row r="187" spans="1:16" s="419" customFormat="1" x14ac:dyDescent="0.3">
      <c r="A187" s="427"/>
      <c r="B187" s="428" t="s">
        <v>68</v>
      </c>
      <c r="C187" s="514"/>
      <c r="D187" s="452"/>
      <c r="E187" s="452"/>
      <c r="F187" s="452"/>
      <c r="G187" s="452"/>
      <c r="H187" s="452"/>
      <c r="I187" s="452"/>
      <c r="J187" s="452"/>
      <c r="K187" s="452"/>
      <c r="L187" s="446">
        <f>L185-L186</f>
        <v>1.5050000000000001E-2</v>
      </c>
      <c r="M187" s="428"/>
      <c r="N187" s="428"/>
      <c r="O187" s="430"/>
      <c r="P187" s="418"/>
    </row>
    <row r="188" spans="1:16" s="419" customFormat="1" x14ac:dyDescent="0.3">
      <c r="A188" s="427"/>
      <c r="B188" s="428" t="s">
        <v>69</v>
      </c>
      <c r="C188" s="514"/>
      <c r="D188" s="452"/>
      <c r="E188" s="452"/>
      <c r="F188" s="452"/>
      <c r="G188" s="452"/>
      <c r="H188" s="452"/>
      <c r="I188" s="452"/>
      <c r="J188" s="452"/>
      <c r="K188" s="452"/>
      <c r="L188" s="446">
        <v>4.4949999999999997E-2</v>
      </c>
      <c r="M188" s="428"/>
      <c r="N188" s="428"/>
      <c r="O188" s="430"/>
      <c r="P188" s="418"/>
    </row>
    <row r="189" spans="1:16" s="419" customFormat="1" x14ac:dyDescent="0.3">
      <c r="A189" s="427"/>
      <c r="B189" s="428" t="s">
        <v>212</v>
      </c>
      <c r="C189" s="514"/>
      <c r="D189" s="452"/>
      <c r="E189" s="452"/>
      <c r="F189" s="452"/>
      <c r="G189" s="452"/>
      <c r="H189" s="452"/>
      <c r="I189" s="452"/>
      <c r="J189" s="452"/>
      <c r="K189" s="452"/>
      <c r="L189" s="446">
        <f>N34</f>
        <v>1.094058387037921E-2</v>
      </c>
      <c r="M189" s="428"/>
      <c r="N189" s="428"/>
      <c r="O189" s="430"/>
      <c r="P189" s="418"/>
    </row>
    <row r="190" spans="1:16" s="419" customFormat="1" x14ac:dyDescent="0.3">
      <c r="A190" s="427"/>
      <c r="B190" s="428" t="s">
        <v>70</v>
      </c>
      <c r="C190" s="514"/>
      <c r="D190" s="452"/>
      <c r="E190" s="452"/>
      <c r="F190" s="452"/>
      <c r="G190" s="452"/>
      <c r="H190" s="452"/>
      <c r="I190" s="452"/>
      <c r="J190" s="452"/>
      <c r="K190" s="452"/>
      <c r="L190" s="446">
        <f>L188-L189</f>
        <v>3.4009416129620787E-2</v>
      </c>
      <c r="M190" s="428"/>
      <c r="N190" s="428"/>
      <c r="O190" s="430"/>
      <c r="P190" s="418"/>
    </row>
    <row r="191" spans="1:16" s="419" customFormat="1" x14ac:dyDescent="0.3">
      <c r="A191" s="427"/>
      <c r="B191" s="428" t="s">
        <v>203</v>
      </c>
      <c r="C191" s="514"/>
      <c r="D191" s="452"/>
      <c r="E191" s="452"/>
      <c r="F191" s="452"/>
      <c r="G191" s="452"/>
      <c r="H191" s="452"/>
      <c r="I191" s="452"/>
      <c r="J191" s="452"/>
      <c r="K191" s="452"/>
      <c r="L191" s="446">
        <f>+N87/F59</f>
        <v>1.1415708658252271E-2</v>
      </c>
      <c r="M191" s="428"/>
      <c r="N191" s="428"/>
      <c r="O191" s="430"/>
      <c r="P191" s="418"/>
    </row>
    <row r="192" spans="1:16" s="419" customFormat="1" x14ac:dyDescent="0.3">
      <c r="A192" s="427"/>
      <c r="B192" s="428" t="s">
        <v>171</v>
      </c>
      <c r="C192" s="514"/>
      <c r="D192" s="452"/>
      <c r="E192" s="452"/>
      <c r="F192" s="452"/>
      <c r="G192" s="452"/>
      <c r="H192" s="452"/>
      <c r="I192" s="452"/>
      <c r="J192" s="452"/>
      <c r="K192" s="452"/>
      <c r="L192" s="515">
        <v>48823</v>
      </c>
      <c r="M192" s="428"/>
      <c r="N192" s="428"/>
      <c r="O192" s="430"/>
      <c r="P192" s="418"/>
    </row>
    <row r="193" spans="1:16" s="419" customFormat="1" x14ac:dyDescent="0.3">
      <c r="A193" s="427"/>
      <c r="B193" s="428" t="s">
        <v>172</v>
      </c>
      <c r="C193" s="514"/>
      <c r="D193" s="452"/>
      <c r="E193" s="452"/>
      <c r="F193" s="452"/>
      <c r="G193" s="452"/>
      <c r="H193" s="452"/>
      <c r="I193" s="452"/>
      <c r="J193" s="452"/>
      <c r="K193" s="452"/>
      <c r="L193" s="515">
        <v>48823</v>
      </c>
      <c r="M193" s="428"/>
      <c r="N193" s="428"/>
      <c r="O193" s="430"/>
      <c r="P193" s="418"/>
    </row>
    <row r="194" spans="1:16" s="419" customFormat="1" x14ac:dyDescent="0.3">
      <c r="A194" s="427"/>
      <c r="B194" s="428" t="s">
        <v>173</v>
      </c>
      <c r="C194" s="514"/>
      <c r="D194" s="452"/>
      <c r="E194" s="452"/>
      <c r="F194" s="452"/>
      <c r="G194" s="452"/>
      <c r="H194" s="452"/>
      <c r="I194" s="452"/>
      <c r="J194" s="452"/>
      <c r="K194" s="452"/>
      <c r="L194" s="515">
        <v>48823</v>
      </c>
      <c r="M194" s="428"/>
      <c r="N194" s="428"/>
      <c r="O194" s="430"/>
      <c r="P194" s="418"/>
    </row>
    <row r="195" spans="1:16" s="419" customFormat="1" x14ac:dyDescent="0.3">
      <c r="A195" s="427"/>
      <c r="B195" s="428" t="s">
        <v>71</v>
      </c>
      <c r="C195" s="514"/>
      <c r="D195" s="452"/>
      <c r="E195" s="452"/>
      <c r="F195" s="452"/>
      <c r="G195" s="452"/>
      <c r="H195" s="452"/>
      <c r="I195" s="452"/>
      <c r="J195" s="452"/>
      <c r="K195" s="452"/>
      <c r="L195" s="450">
        <v>9.93</v>
      </c>
      <c r="M195" s="428" t="s">
        <v>110</v>
      </c>
      <c r="N195" s="428"/>
      <c r="O195" s="430"/>
      <c r="P195" s="418"/>
    </row>
    <row r="196" spans="1:16" s="419" customFormat="1" x14ac:dyDescent="0.3">
      <c r="A196" s="427"/>
      <c r="B196" s="428" t="s">
        <v>72</v>
      </c>
      <c r="C196" s="514"/>
      <c r="D196" s="452"/>
      <c r="E196" s="452"/>
      <c r="F196" s="452"/>
      <c r="G196" s="452"/>
      <c r="H196" s="452"/>
      <c r="I196" s="452"/>
      <c r="J196" s="452"/>
      <c r="K196" s="452"/>
      <c r="L196" s="450">
        <v>4.01</v>
      </c>
      <c r="M196" s="428" t="s">
        <v>110</v>
      </c>
      <c r="N196" s="428"/>
      <c r="O196" s="430"/>
      <c r="P196" s="418"/>
    </row>
    <row r="197" spans="1:16" s="419" customFormat="1" x14ac:dyDescent="0.3">
      <c r="A197" s="427"/>
      <c r="B197" s="428" t="s">
        <v>73</v>
      </c>
      <c r="C197" s="514"/>
      <c r="D197" s="452"/>
      <c r="E197" s="452"/>
      <c r="F197" s="452"/>
      <c r="G197" s="452"/>
      <c r="H197" s="452"/>
      <c r="I197" s="452"/>
      <c r="J197" s="452"/>
      <c r="K197" s="452"/>
      <c r="L197" s="446">
        <f>+H56/F56</f>
        <v>0.12362814719173661</v>
      </c>
      <c r="M197" s="428"/>
      <c r="N197" s="428"/>
      <c r="O197" s="430"/>
      <c r="P197" s="418"/>
    </row>
    <row r="198" spans="1:16" s="419" customFormat="1" x14ac:dyDescent="0.3">
      <c r="A198" s="427"/>
      <c r="B198" s="428" t="s">
        <v>74</v>
      </c>
      <c r="C198" s="514"/>
      <c r="D198" s="452"/>
      <c r="E198" s="452"/>
      <c r="F198" s="452"/>
      <c r="G198" s="452"/>
      <c r="H198" s="452"/>
      <c r="I198" s="452"/>
      <c r="J198" s="452"/>
      <c r="K198" s="452"/>
      <c r="L198" s="446">
        <v>0.2697</v>
      </c>
      <c r="M198" s="428"/>
      <c r="N198" s="428"/>
      <c r="O198" s="430"/>
      <c r="P198" s="418"/>
    </row>
    <row r="199" spans="1:16" x14ac:dyDescent="0.3">
      <c r="A199" s="510"/>
      <c r="B199" s="476"/>
      <c r="C199" s="476"/>
      <c r="D199" s="476"/>
      <c r="E199" s="476"/>
      <c r="F199" s="476"/>
      <c r="G199" s="476"/>
      <c r="H199" s="476"/>
      <c r="I199" s="476"/>
      <c r="J199" s="476"/>
      <c r="K199" s="476"/>
      <c r="L199" s="516"/>
      <c r="M199" s="476"/>
      <c r="N199" s="517"/>
      <c r="O199" s="476"/>
      <c r="P199" s="402"/>
    </row>
    <row r="200" spans="1:16" x14ac:dyDescent="0.3">
      <c r="A200" s="609"/>
      <c r="B200" s="599" t="s">
        <v>75</v>
      </c>
      <c r="C200" s="601"/>
      <c r="D200" s="601"/>
      <c r="E200" s="601"/>
      <c r="F200" s="601"/>
      <c r="G200" s="601"/>
      <c r="H200" s="601"/>
      <c r="I200" s="601"/>
      <c r="J200" s="601"/>
      <c r="K200" s="601" t="s">
        <v>99</v>
      </c>
      <c r="L200" s="615" t="s">
        <v>106</v>
      </c>
      <c r="M200" s="591"/>
      <c r="N200" s="591"/>
      <c r="O200" s="594"/>
      <c r="P200" s="402"/>
    </row>
    <row r="201" spans="1:16" s="419" customFormat="1" x14ac:dyDescent="0.3">
      <c r="A201" s="610"/>
      <c r="B201" s="588" t="s">
        <v>76</v>
      </c>
      <c r="C201" s="597"/>
      <c r="D201" s="611"/>
      <c r="E201" s="611"/>
      <c r="F201" s="611"/>
      <c r="G201" s="611"/>
      <c r="H201" s="611"/>
      <c r="I201" s="611"/>
      <c r="J201" s="611"/>
      <c r="K201" s="611">
        <v>3</v>
      </c>
      <c r="L201" s="612">
        <v>143</v>
      </c>
      <c r="M201" s="588"/>
      <c r="N201" s="613"/>
      <c r="O201" s="614"/>
      <c r="P201" s="418"/>
    </row>
    <row r="202" spans="1:16" s="419" customFormat="1" x14ac:dyDescent="0.3">
      <c r="A202" s="518"/>
      <c r="B202" s="428" t="s">
        <v>136</v>
      </c>
      <c r="C202" s="469"/>
      <c r="D202" s="434"/>
      <c r="E202" s="434"/>
      <c r="F202" s="434"/>
      <c r="G202" s="434"/>
      <c r="H202" s="434"/>
      <c r="I202" s="434"/>
      <c r="J202" s="434"/>
      <c r="K202" s="522">
        <f>+J269</f>
        <v>0</v>
      </c>
      <c r="L202" s="519">
        <f>+L269</f>
        <v>0</v>
      </c>
      <c r="M202" s="428"/>
      <c r="N202" s="520"/>
      <c r="O202" s="521"/>
      <c r="P202" s="418"/>
    </row>
    <row r="203" spans="1:16" s="419" customFormat="1" x14ac:dyDescent="0.3">
      <c r="A203" s="518"/>
      <c r="B203" s="428" t="s">
        <v>77</v>
      </c>
      <c r="C203" s="469"/>
      <c r="D203" s="434"/>
      <c r="E203" s="434"/>
      <c r="F203" s="434"/>
      <c r="G203" s="434"/>
      <c r="H203" s="434"/>
      <c r="I203" s="434"/>
      <c r="J203" s="434"/>
      <c r="K203" s="522">
        <f>+J286</f>
        <v>1</v>
      </c>
      <c r="L203" s="519">
        <f>+L286</f>
        <v>109</v>
      </c>
      <c r="M203" s="428"/>
      <c r="N203" s="520"/>
      <c r="O203" s="521"/>
      <c r="P203" s="418"/>
    </row>
    <row r="204" spans="1:16" x14ac:dyDescent="0.3">
      <c r="A204" s="523"/>
      <c r="B204" s="562" t="s">
        <v>78</v>
      </c>
      <c r="C204" s="524"/>
      <c r="D204" s="443"/>
      <c r="E204" s="443"/>
      <c r="F204" s="443"/>
      <c r="G204" s="443"/>
      <c r="H204" s="443"/>
      <c r="I204" s="443"/>
      <c r="J204" s="443"/>
      <c r="K204" s="443"/>
      <c r="L204" s="519">
        <v>0</v>
      </c>
      <c r="M204" s="443"/>
      <c r="N204" s="525"/>
      <c r="O204" s="526"/>
      <c r="P204" s="402"/>
    </row>
    <row r="205" spans="1:16" x14ac:dyDescent="0.3">
      <c r="A205" s="523"/>
      <c r="B205" s="562" t="s">
        <v>79</v>
      </c>
      <c r="C205" s="524"/>
      <c r="D205" s="443"/>
      <c r="E205" s="443"/>
      <c r="F205" s="443"/>
      <c r="G205" s="443"/>
      <c r="H205" s="443"/>
      <c r="I205" s="443"/>
      <c r="J205" s="443"/>
      <c r="K205" s="443"/>
      <c r="L205" s="527" t="s">
        <v>107</v>
      </c>
      <c r="M205" s="443"/>
      <c r="N205" s="525"/>
      <c r="O205" s="526"/>
      <c r="P205" s="402"/>
    </row>
    <row r="206" spans="1:16" x14ac:dyDescent="0.3">
      <c r="A206" s="528"/>
      <c r="B206" s="562" t="s">
        <v>80</v>
      </c>
      <c r="C206" s="529"/>
      <c r="D206" s="443"/>
      <c r="E206" s="443"/>
      <c r="F206" s="443"/>
      <c r="G206" s="443"/>
      <c r="H206" s="443"/>
      <c r="I206" s="443"/>
      <c r="J206" s="443"/>
      <c r="K206" s="443"/>
      <c r="L206" s="530"/>
      <c r="M206" s="443"/>
      <c r="N206" s="525"/>
      <c r="O206" s="531"/>
      <c r="P206" s="402"/>
    </row>
    <row r="207" spans="1:16" s="419" customFormat="1" x14ac:dyDescent="0.3">
      <c r="A207" s="532"/>
      <c r="B207" s="428" t="s">
        <v>81</v>
      </c>
      <c r="C207" s="428"/>
      <c r="D207" s="428"/>
      <c r="E207" s="428"/>
      <c r="F207" s="428"/>
      <c r="G207" s="428"/>
      <c r="H207" s="428"/>
      <c r="I207" s="428"/>
      <c r="J207" s="428"/>
      <c r="K207" s="434"/>
      <c r="L207" s="519">
        <f>N144</f>
        <v>0</v>
      </c>
      <c r="M207" s="428"/>
      <c r="N207" s="520"/>
      <c r="O207" s="533"/>
      <c r="P207" s="418"/>
    </row>
    <row r="208" spans="1:16" s="419" customFormat="1" x14ac:dyDescent="0.3">
      <c r="A208" s="518"/>
      <c r="B208" s="428" t="s">
        <v>82</v>
      </c>
      <c r="C208" s="469"/>
      <c r="D208" s="428"/>
      <c r="E208" s="428"/>
      <c r="F208" s="428"/>
      <c r="G208" s="428"/>
      <c r="H208" s="428"/>
      <c r="I208" s="428"/>
      <c r="J208" s="428"/>
      <c r="K208" s="434"/>
      <c r="L208" s="519">
        <f>'Aug 18'!L208+L207</f>
        <v>216</v>
      </c>
      <c r="M208" s="428"/>
      <c r="N208" s="520"/>
      <c r="O208" s="533"/>
      <c r="P208" s="418"/>
    </row>
    <row r="209" spans="1:17" x14ac:dyDescent="0.3">
      <c r="A209" s="528"/>
      <c r="B209" s="562" t="s">
        <v>253</v>
      </c>
      <c r="C209" s="529"/>
      <c r="D209" s="443"/>
      <c r="E209" s="443"/>
      <c r="F209" s="443"/>
      <c r="G209" s="443"/>
      <c r="H209" s="443"/>
      <c r="I209" s="443"/>
      <c r="J209" s="443"/>
      <c r="K209" s="444"/>
      <c r="L209" s="530"/>
      <c r="M209" s="443"/>
      <c r="N209" s="525"/>
      <c r="O209" s="531"/>
      <c r="P209" s="402"/>
    </row>
    <row r="210" spans="1:17" s="419" customFormat="1" x14ac:dyDescent="0.3">
      <c r="A210" s="532"/>
      <c r="B210" s="428" t="s">
        <v>250</v>
      </c>
      <c r="C210" s="428"/>
      <c r="D210" s="428"/>
      <c r="E210" s="428"/>
      <c r="F210" s="428"/>
      <c r="G210" s="428"/>
      <c r="H210" s="428"/>
      <c r="I210" s="428"/>
      <c r="J210" s="428"/>
      <c r="K210" s="434">
        <v>0</v>
      </c>
      <c r="L210" s="519">
        <v>0</v>
      </c>
      <c r="M210" s="428"/>
      <c r="N210" s="520"/>
      <c r="O210" s="533"/>
      <c r="P210" s="418"/>
    </row>
    <row r="211" spans="1:17" s="419" customFormat="1" x14ac:dyDescent="0.3">
      <c r="A211" s="518"/>
      <c r="B211" s="428" t="s">
        <v>83</v>
      </c>
      <c r="C211" s="449"/>
      <c r="D211" s="428"/>
      <c r="E211" s="428"/>
      <c r="F211" s="428"/>
      <c r="G211" s="428"/>
      <c r="H211" s="428"/>
      <c r="I211" s="428"/>
      <c r="J211" s="428"/>
      <c r="K211" s="428"/>
      <c r="L211" s="527">
        <v>0</v>
      </c>
      <c r="M211" s="428"/>
      <c r="N211" s="520"/>
      <c r="O211" s="533"/>
      <c r="P211" s="418"/>
    </row>
    <row r="212" spans="1:17" s="419" customFormat="1" x14ac:dyDescent="0.3">
      <c r="A212" s="518"/>
      <c r="B212" s="428" t="s">
        <v>84</v>
      </c>
      <c r="C212" s="449"/>
      <c r="D212" s="428"/>
      <c r="E212" s="428"/>
      <c r="F212" s="428"/>
      <c r="G212" s="428"/>
      <c r="H212" s="428"/>
      <c r="I212" s="428"/>
      <c r="J212" s="428"/>
      <c r="K212" s="428"/>
      <c r="L212" s="527">
        <v>0</v>
      </c>
      <c r="M212" s="428"/>
      <c r="N212" s="520"/>
      <c r="O212" s="533"/>
      <c r="P212" s="418"/>
    </row>
    <row r="213" spans="1:17" x14ac:dyDescent="0.3">
      <c r="A213" s="523"/>
      <c r="B213" s="562" t="s">
        <v>177</v>
      </c>
      <c r="C213" s="534"/>
      <c r="D213" s="443"/>
      <c r="E213" s="443"/>
      <c r="F213" s="443"/>
      <c r="G213" s="443"/>
      <c r="H213" s="443"/>
      <c r="I213" s="443"/>
      <c r="J213" s="443"/>
      <c r="K213" s="443"/>
      <c r="L213" s="535"/>
      <c r="M213" s="443"/>
      <c r="N213" s="525"/>
      <c r="O213" s="531"/>
      <c r="P213" s="402"/>
    </row>
    <row r="214" spans="1:17" s="419" customFormat="1" x14ac:dyDescent="0.3">
      <c r="A214" s="518"/>
      <c r="B214" s="428" t="s">
        <v>250</v>
      </c>
      <c r="C214" s="449"/>
      <c r="D214" s="428"/>
      <c r="E214" s="428"/>
      <c r="F214" s="428"/>
      <c r="G214" s="428"/>
      <c r="H214" s="428"/>
      <c r="I214" s="428"/>
      <c r="J214" s="428"/>
      <c r="K214" s="434">
        <v>0</v>
      </c>
      <c r="L214" s="519">
        <v>0</v>
      </c>
      <c r="M214" s="428"/>
      <c r="N214" s="520"/>
      <c r="O214" s="533"/>
      <c r="P214" s="418"/>
    </row>
    <row r="215" spans="1:17" s="419" customFormat="1" x14ac:dyDescent="0.3">
      <c r="A215" s="518"/>
      <c r="B215" s="428" t="s">
        <v>178</v>
      </c>
      <c r="C215" s="449"/>
      <c r="D215" s="428"/>
      <c r="E215" s="428"/>
      <c r="F215" s="428"/>
      <c r="G215" s="428"/>
      <c r="H215" s="428"/>
      <c r="I215" s="428"/>
      <c r="J215" s="428"/>
      <c r="K215" s="428"/>
      <c r="L215" s="527">
        <v>0</v>
      </c>
      <c r="M215" s="428"/>
      <c r="N215" s="520"/>
      <c r="O215" s="533"/>
      <c r="P215" s="418"/>
    </row>
    <row r="216" spans="1:17" x14ac:dyDescent="0.3">
      <c r="A216" s="523"/>
      <c r="B216" s="529"/>
      <c r="C216" s="534"/>
      <c r="D216" s="443"/>
      <c r="E216" s="443"/>
      <c r="F216" s="443"/>
      <c r="G216" s="443"/>
      <c r="H216" s="443"/>
      <c r="I216" s="443"/>
      <c r="J216" s="443"/>
      <c r="K216" s="443"/>
      <c r="L216" s="535"/>
      <c r="M216" s="443"/>
      <c r="N216" s="525"/>
      <c r="O216" s="531"/>
      <c r="P216" s="402"/>
    </row>
    <row r="217" spans="1:17" x14ac:dyDescent="0.3">
      <c r="A217" s="523"/>
      <c r="B217" s="529"/>
      <c r="C217" s="534"/>
      <c r="D217" s="443"/>
      <c r="E217" s="443"/>
      <c r="F217" s="443"/>
      <c r="G217" s="443"/>
      <c r="H217" s="443"/>
      <c r="I217" s="443"/>
      <c r="J217" s="443"/>
      <c r="K217" s="443"/>
      <c r="L217" s="535"/>
      <c r="M217" s="443"/>
      <c r="N217" s="525"/>
      <c r="O217" s="531"/>
      <c r="P217" s="402"/>
    </row>
    <row r="218" spans="1:17" ht="18" x14ac:dyDescent="0.35">
      <c r="A218" s="523"/>
      <c r="B218" s="582" t="s">
        <v>294</v>
      </c>
      <c r="C218" s="534"/>
      <c r="D218" s="443"/>
      <c r="E218" s="583"/>
      <c r="F218" s="443"/>
      <c r="G218" s="443"/>
      <c r="H218" s="536"/>
      <c r="I218" s="443"/>
      <c r="J218" s="443"/>
      <c r="K218" s="584" t="s">
        <v>293</v>
      </c>
      <c r="L218" s="535"/>
      <c r="M218" s="443"/>
      <c r="N218" s="525"/>
      <c r="O218" s="531"/>
      <c r="P218" s="402"/>
    </row>
    <row r="219" spans="1:17" ht="18" x14ac:dyDescent="0.35">
      <c r="A219" s="537"/>
      <c r="B219" s="538"/>
      <c r="C219" s="539"/>
      <c r="D219" s="471"/>
      <c r="E219" s="471"/>
      <c r="F219" s="471"/>
      <c r="G219" s="471"/>
      <c r="H219" s="540"/>
      <c r="I219" s="471"/>
      <c r="J219" s="471"/>
      <c r="K219" s="471"/>
      <c r="L219" s="541"/>
      <c r="M219" s="471"/>
      <c r="N219" s="542"/>
      <c r="O219" s="543"/>
      <c r="P219" s="402"/>
    </row>
    <row r="220" spans="1:17" x14ac:dyDescent="0.3">
      <c r="A220" s="585"/>
      <c r="B220" s="599" t="s">
        <v>258</v>
      </c>
      <c r="C220" s="601"/>
      <c r="D220" s="601"/>
      <c r="E220" s="601"/>
      <c r="F220" s="601"/>
      <c r="G220" s="601"/>
      <c r="H220" s="601"/>
      <c r="I220" s="601"/>
      <c r="J220" s="619" t="s">
        <v>99</v>
      </c>
      <c r="K220" s="601" t="s">
        <v>100</v>
      </c>
      <c r="L220" s="615" t="s">
        <v>108</v>
      </c>
      <c r="M220" s="601" t="s">
        <v>100</v>
      </c>
      <c r="N220" s="591"/>
      <c r="O220" s="620"/>
      <c r="P220" s="402"/>
    </row>
    <row r="221" spans="1:17" s="419" customFormat="1" x14ac:dyDescent="0.3">
      <c r="A221" s="587"/>
      <c r="B221" s="597" t="s">
        <v>85</v>
      </c>
      <c r="C221" s="616"/>
      <c r="D221" s="616"/>
      <c r="E221" s="616"/>
      <c r="F221" s="616"/>
      <c r="G221" s="616"/>
      <c r="H221" s="616"/>
      <c r="I221" s="616"/>
      <c r="J221" s="597">
        <f t="shared" ref="J221:J233" si="1">+J238+J255+J272</f>
        <v>301</v>
      </c>
      <c r="K221" s="617">
        <f t="shared" ref="K221:K233" si="2">J221/$J$235</f>
        <v>0.93769470404984423</v>
      </c>
      <c r="L221" s="598">
        <f t="shared" ref="L221:L233" si="3">+L238+L255+L272</f>
        <v>10056</v>
      </c>
      <c r="M221" s="617">
        <f t="shared" ref="M221:M233" si="4">L221/$L$235</f>
        <v>0.92596685082872932</v>
      </c>
      <c r="N221" s="613"/>
      <c r="O221" s="618"/>
      <c r="P221" s="418"/>
    </row>
    <row r="222" spans="1:17" s="419" customFormat="1" x14ac:dyDescent="0.3">
      <c r="A222" s="427"/>
      <c r="B222" s="469" t="s">
        <v>86</v>
      </c>
      <c r="C222" s="544"/>
      <c r="D222" s="544"/>
      <c r="E222" s="544"/>
      <c r="F222" s="544"/>
      <c r="G222" s="544"/>
      <c r="H222" s="544"/>
      <c r="I222" s="544"/>
      <c r="J222" s="469">
        <f t="shared" si="1"/>
        <v>3</v>
      </c>
      <c r="K222" s="545">
        <f t="shared" si="2"/>
        <v>9.3457943925233638E-3</v>
      </c>
      <c r="L222" s="470">
        <f t="shared" si="3"/>
        <v>167</v>
      </c>
      <c r="M222" s="545">
        <f t="shared" si="4"/>
        <v>1.5377532228360958E-2</v>
      </c>
      <c r="N222" s="520"/>
      <c r="O222" s="533"/>
      <c r="P222" s="418"/>
      <c r="Q222" s="482"/>
    </row>
    <row r="223" spans="1:17" s="419" customFormat="1" x14ac:dyDescent="0.3">
      <c r="A223" s="427"/>
      <c r="B223" s="469" t="s">
        <v>87</v>
      </c>
      <c r="C223" s="544"/>
      <c r="D223" s="544"/>
      <c r="E223" s="544"/>
      <c r="F223" s="544"/>
      <c r="G223" s="544"/>
      <c r="H223" s="544"/>
      <c r="I223" s="544"/>
      <c r="J223" s="469">
        <f t="shared" si="1"/>
        <v>3</v>
      </c>
      <c r="K223" s="545">
        <f t="shared" si="2"/>
        <v>9.3457943925233638E-3</v>
      </c>
      <c r="L223" s="470">
        <f t="shared" si="3"/>
        <v>58</v>
      </c>
      <c r="M223" s="545">
        <f t="shared" si="4"/>
        <v>5.3406998158379371E-3</v>
      </c>
      <c r="N223" s="520"/>
      <c r="O223" s="533"/>
      <c r="P223" s="418"/>
    </row>
    <row r="224" spans="1:17" s="419" customFormat="1" x14ac:dyDescent="0.3">
      <c r="A224" s="427"/>
      <c r="B224" s="469" t="s">
        <v>145</v>
      </c>
      <c r="C224" s="544"/>
      <c r="D224" s="544"/>
      <c r="E224" s="544"/>
      <c r="F224" s="544"/>
      <c r="G224" s="544"/>
      <c r="H224" s="544"/>
      <c r="I224" s="544"/>
      <c r="J224" s="469">
        <f t="shared" si="1"/>
        <v>2</v>
      </c>
      <c r="K224" s="545">
        <f t="shared" si="2"/>
        <v>6.2305295950155761E-3</v>
      </c>
      <c r="L224" s="470">
        <f t="shared" si="3"/>
        <v>184</v>
      </c>
      <c r="M224" s="545">
        <f t="shared" si="4"/>
        <v>1.694290976058932E-2</v>
      </c>
      <c r="N224" s="520"/>
      <c r="O224" s="533"/>
      <c r="P224" s="418"/>
      <c r="Q224" s="482"/>
    </row>
    <row r="225" spans="1:17" s="419" customFormat="1" x14ac:dyDescent="0.3">
      <c r="A225" s="427"/>
      <c r="B225" s="469" t="s">
        <v>146</v>
      </c>
      <c r="C225" s="544"/>
      <c r="D225" s="544"/>
      <c r="E225" s="544"/>
      <c r="F225" s="544"/>
      <c r="G225" s="544"/>
      <c r="H225" s="544"/>
      <c r="I225" s="544"/>
      <c r="J225" s="469">
        <f t="shared" si="1"/>
        <v>1</v>
      </c>
      <c r="K225" s="545">
        <f t="shared" si="2"/>
        <v>3.1152647975077881E-3</v>
      </c>
      <c r="L225" s="470">
        <f t="shared" si="3"/>
        <v>1</v>
      </c>
      <c r="M225" s="545">
        <f t="shared" si="4"/>
        <v>9.2081031307550643E-5</v>
      </c>
      <c r="N225" s="520"/>
      <c r="O225" s="533"/>
      <c r="P225" s="418"/>
    </row>
    <row r="226" spans="1:17" s="419" customFormat="1" x14ac:dyDescent="0.3">
      <c r="A226" s="427"/>
      <c r="B226" s="469" t="s">
        <v>147</v>
      </c>
      <c r="C226" s="544"/>
      <c r="D226" s="544"/>
      <c r="E226" s="544"/>
      <c r="F226" s="544"/>
      <c r="G226" s="544"/>
      <c r="H226" s="544"/>
      <c r="I226" s="544"/>
      <c r="J226" s="469">
        <f t="shared" si="1"/>
        <v>1</v>
      </c>
      <c r="K226" s="545">
        <f t="shared" si="2"/>
        <v>3.1152647975077881E-3</v>
      </c>
      <c r="L226" s="470">
        <f t="shared" si="3"/>
        <v>61</v>
      </c>
      <c r="M226" s="545">
        <f t="shared" si="4"/>
        <v>5.6169429097605895E-3</v>
      </c>
      <c r="N226" s="520"/>
      <c r="O226" s="533"/>
      <c r="P226" s="418"/>
      <c r="Q226" s="482"/>
    </row>
    <row r="227" spans="1:17" s="419" customFormat="1" x14ac:dyDescent="0.3">
      <c r="A227" s="427"/>
      <c r="B227" s="469" t="s">
        <v>227</v>
      </c>
      <c r="C227" s="544"/>
      <c r="D227" s="544"/>
      <c r="E227" s="544"/>
      <c r="F227" s="544"/>
      <c r="G227" s="544"/>
      <c r="H227" s="544"/>
      <c r="I227" s="544"/>
      <c r="J227" s="469">
        <f t="shared" si="1"/>
        <v>3</v>
      </c>
      <c r="K227" s="545">
        <f t="shared" si="2"/>
        <v>9.3457943925233638E-3</v>
      </c>
      <c r="L227" s="470">
        <f t="shared" si="3"/>
        <v>121</v>
      </c>
      <c r="M227" s="545">
        <f t="shared" si="4"/>
        <v>1.1141804788213628E-2</v>
      </c>
      <c r="N227" s="520"/>
      <c r="O227" s="533"/>
      <c r="P227" s="418"/>
    </row>
    <row r="228" spans="1:17" s="419" customFormat="1" x14ac:dyDescent="0.3">
      <c r="A228" s="427"/>
      <c r="B228" s="469" t="s">
        <v>228</v>
      </c>
      <c r="C228" s="544"/>
      <c r="D228" s="544"/>
      <c r="E228" s="544"/>
      <c r="F228" s="544"/>
      <c r="G228" s="544"/>
      <c r="H228" s="544"/>
      <c r="I228" s="544"/>
      <c r="J228" s="469">
        <f t="shared" si="1"/>
        <v>0</v>
      </c>
      <c r="K228" s="545">
        <f t="shared" si="2"/>
        <v>0</v>
      </c>
      <c r="L228" s="470">
        <f t="shared" si="3"/>
        <v>0</v>
      </c>
      <c r="M228" s="545">
        <f t="shared" si="4"/>
        <v>0</v>
      </c>
      <c r="N228" s="520"/>
      <c r="O228" s="533"/>
      <c r="P228" s="418"/>
      <c r="Q228" s="482"/>
    </row>
    <row r="229" spans="1:17" s="419" customFormat="1" x14ac:dyDescent="0.3">
      <c r="A229" s="427"/>
      <c r="B229" s="469" t="s">
        <v>229</v>
      </c>
      <c r="C229" s="544"/>
      <c r="D229" s="544"/>
      <c r="E229" s="544"/>
      <c r="F229" s="544"/>
      <c r="G229" s="544"/>
      <c r="H229" s="544"/>
      <c r="I229" s="544"/>
      <c r="J229" s="469">
        <f t="shared" si="1"/>
        <v>1</v>
      </c>
      <c r="K229" s="545">
        <f t="shared" si="2"/>
        <v>3.1152647975077881E-3</v>
      </c>
      <c r="L229" s="470">
        <f t="shared" si="3"/>
        <v>10</v>
      </c>
      <c r="M229" s="545">
        <f t="shared" si="4"/>
        <v>9.2081031307550648E-4</v>
      </c>
      <c r="N229" s="520"/>
      <c r="O229" s="533"/>
      <c r="P229" s="418"/>
      <c r="Q229" s="482"/>
    </row>
    <row r="230" spans="1:17" s="419" customFormat="1" x14ac:dyDescent="0.3">
      <c r="A230" s="427"/>
      <c r="B230" s="469" t="s">
        <v>230</v>
      </c>
      <c r="C230" s="544"/>
      <c r="D230" s="544"/>
      <c r="E230" s="544"/>
      <c r="F230" s="544"/>
      <c r="G230" s="544"/>
      <c r="H230" s="544"/>
      <c r="I230" s="544"/>
      <c r="J230" s="469">
        <f t="shared" si="1"/>
        <v>2</v>
      </c>
      <c r="K230" s="545">
        <f t="shared" si="2"/>
        <v>6.2305295950155761E-3</v>
      </c>
      <c r="L230" s="470">
        <f t="shared" si="3"/>
        <v>120</v>
      </c>
      <c r="M230" s="545">
        <f t="shared" si="4"/>
        <v>1.1049723756906077E-2</v>
      </c>
      <c r="N230" s="520"/>
      <c r="O230" s="533"/>
      <c r="P230" s="418"/>
      <c r="Q230" s="482"/>
    </row>
    <row r="231" spans="1:17" s="419" customFormat="1" x14ac:dyDescent="0.3">
      <c r="A231" s="427"/>
      <c r="B231" s="469" t="s">
        <v>231</v>
      </c>
      <c r="C231" s="544"/>
      <c r="D231" s="544"/>
      <c r="E231" s="544"/>
      <c r="F231" s="544"/>
      <c r="G231" s="544"/>
      <c r="H231" s="544"/>
      <c r="I231" s="544"/>
      <c r="J231" s="469">
        <f t="shared" si="1"/>
        <v>0</v>
      </c>
      <c r="K231" s="545">
        <f t="shared" si="2"/>
        <v>0</v>
      </c>
      <c r="L231" s="470">
        <f t="shared" si="3"/>
        <v>0</v>
      </c>
      <c r="M231" s="545">
        <f t="shared" si="4"/>
        <v>0</v>
      </c>
      <c r="N231" s="520"/>
      <c r="O231" s="533"/>
      <c r="P231" s="418"/>
      <c r="Q231" s="482"/>
    </row>
    <row r="232" spans="1:17" s="419" customFormat="1" x14ac:dyDescent="0.3">
      <c r="A232" s="427"/>
      <c r="B232" s="469" t="s">
        <v>232</v>
      </c>
      <c r="C232" s="544"/>
      <c r="D232" s="544"/>
      <c r="E232" s="544"/>
      <c r="F232" s="544"/>
      <c r="G232" s="544"/>
      <c r="H232" s="544"/>
      <c r="I232" s="544"/>
      <c r="J232" s="469">
        <f t="shared" si="1"/>
        <v>0</v>
      </c>
      <c r="K232" s="545">
        <f t="shared" si="2"/>
        <v>0</v>
      </c>
      <c r="L232" s="470">
        <f t="shared" si="3"/>
        <v>0</v>
      </c>
      <c r="M232" s="545">
        <f t="shared" si="4"/>
        <v>0</v>
      </c>
      <c r="N232" s="520"/>
      <c r="O232" s="533"/>
      <c r="P232" s="418"/>
      <c r="Q232" s="482"/>
    </row>
    <row r="233" spans="1:17" s="419" customFormat="1" x14ac:dyDescent="0.3">
      <c r="A233" s="427"/>
      <c r="B233" s="469" t="s">
        <v>233</v>
      </c>
      <c r="C233" s="544"/>
      <c r="D233" s="544"/>
      <c r="E233" s="544"/>
      <c r="F233" s="544"/>
      <c r="G233" s="544"/>
      <c r="H233" s="544"/>
      <c r="I233" s="544"/>
      <c r="J233" s="469">
        <f t="shared" si="1"/>
        <v>4</v>
      </c>
      <c r="K233" s="545">
        <f t="shared" si="2"/>
        <v>1.2461059190031152E-2</v>
      </c>
      <c r="L233" s="470">
        <f t="shared" si="3"/>
        <v>82</v>
      </c>
      <c r="M233" s="545">
        <f t="shared" si="4"/>
        <v>7.5506445672191532E-3</v>
      </c>
      <c r="N233" s="520"/>
      <c r="O233" s="533"/>
      <c r="P233" s="418"/>
      <c r="Q233" s="482"/>
    </row>
    <row r="234" spans="1:17" s="419" customFormat="1" x14ac:dyDescent="0.3">
      <c r="A234" s="427"/>
      <c r="B234" s="469"/>
      <c r="C234" s="544"/>
      <c r="D234" s="544"/>
      <c r="E234" s="544"/>
      <c r="F234" s="544"/>
      <c r="G234" s="544"/>
      <c r="H234" s="544"/>
      <c r="I234" s="544"/>
      <c r="J234" s="469"/>
      <c r="K234" s="545"/>
      <c r="L234" s="470"/>
      <c r="M234" s="545"/>
      <c r="N234" s="520"/>
      <c r="O234" s="533"/>
      <c r="P234" s="418"/>
      <c r="Q234" s="482"/>
    </row>
    <row r="235" spans="1:17" s="419" customFormat="1" x14ac:dyDescent="0.3">
      <c r="A235" s="427"/>
      <c r="B235" s="428"/>
      <c r="C235" s="428"/>
      <c r="D235" s="546"/>
      <c r="E235" s="546"/>
      <c r="F235" s="546"/>
      <c r="G235" s="546"/>
      <c r="H235" s="546"/>
      <c r="I235" s="546"/>
      <c r="J235" s="469">
        <f>SUM(J221:J234)</f>
        <v>321</v>
      </c>
      <c r="K235" s="545">
        <f>SUM(K221:K234)</f>
        <v>1</v>
      </c>
      <c r="L235" s="470">
        <f>SUM(L221:L234)</f>
        <v>10860</v>
      </c>
      <c r="M235" s="545">
        <f>SUM(M221:M234)</f>
        <v>0.99999999999999989</v>
      </c>
      <c r="N235" s="428"/>
      <c r="O235" s="430"/>
      <c r="P235" s="418"/>
    </row>
    <row r="236" spans="1:17" x14ac:dyDescent="0.3">
      <c r="A236" s="537"/>
      <c r="B236" s="547"/>
      <c r="C236" s="539"/>
      <c r="D236" s="471"/>
      <c r="E236" s="471"/>
      <c r="F236" s="471"/>
      <c r="G236" s="471"/>
      <c r="H236" s="471"/>
      <c r="I236" s="471"/>
      <c r="J236" s="471"/>
      <c r="K236" s="471"/>
      <c r="L236" s="541"/>
      <c r="M236" s="471"/>
      <c r="N236" s="542"/>
      <c r="O236" s="543"/>
      <c r="P236" s="402"/>
    </row>
    <row r="237" spans="1:17" x14ac:dyDescent="0.3">
      <c r="A237" s="585"/>
      <c r="B237" s="599" t="s">
        <v>149</v>
      </c>
      <c r="C237" s="601"/>
      <c r="D237" s="601"/>
      <c r="E237" s="601"/>
      <c r="F237" s="601"/>
      <c r="G237" s="601"/>
      <c r="H237" s="601"/>
      <c r="I237" s="601"/>
      <c r="J237" s="619" t="s">
        <v>99</v>
      </c>
      <c r="K237" s="601" t="s">
        <v>100</v>
      </c>
      <c r="L237" s="615" t="s">
        <v>108</v>
      </c>
      <c r="M237" s="601" t="s">
        <v>100</v>
      </c>
      <c r="N237" s="591"/>
      <c r="O237" s="620"/>
      <c r="P237" s="402"/>
    </row>
    <row r="238" spans="1:17" s="419" customFormat="1" x14ac:dyDescent="0.3">
      <c r="A238" s="587"/>
      <c r="B238" s="597" t="s">
        <v>85</v>
      </c>
      <c r="C238" s="616"/>
      <c r="D238" s="616"/>
      <c r="E238" s="616"/>
      <c r="F238" s="616"/>
      <c r="G238" s="616"/>
      <c r="H238" s="616"/>
      <c r="I238" s="616"/>
      <c r="J238" s="597">
        <v>301</v>
      </c>
      <c r="K238" s="617">
        <f t="shared" ref="K238:K250" si="5">J238/$J$252</f>
        <v>0.94062500000000004</v>
      </c>
      <c r="L238" s="598">
        <v>10056</v>
      </c>
      <c r="M238" s="617">
        <f t="shared" ref="M238:M250" si="6">L238/$L$252</f>
        <v>0.93535485071156177</v>
      </c>
      <c r="N238" s="613"/>
      <c r="O238" s="618"/>
      <c r="P238" s="418"/>
    </row>
    <row r="239" spans="1:17" s="419" customFormat="1" x14ac:dyDescent="0.3">
      <c r="A239" s="427"/>
      <c r="B239" s="469" t="s">
        <v>86</v>
      </c>
      <c r="C239" s="544"/>
      <c r="D239" s="544"/>
      <c r="E239" s="544"/>
      <c r="F239" s="544"/>
      <c r="G239" s="544"/>
      <c r="H239" s="544"/>
      <c r="I239" s="544"/>
      <c r="J239" s="469">
        <v>3</v>
      </c>
      <c r="K239" s="545">
        <f t="shared" si="5"/>
        <v>9.3749999999999997E-3</v>
      </c>
      <c r="L239" s="470">
        <v>167</v>
      </c>
      <c r="M239" s="545">
        <f t="shared" si="6"/>
        <v>1.5533438749883732E-2</v>
      </c>
      <c r="N239" s="520"/>
      <c r="O239" s="533"/>
      <c r="P239" s="418"/>
      <c r="Q239" s="482"/>
    </row>
    <row r="240" spans="1:17" s="419" customFormat="1" x14ac:dyDescent="0.3">
      <c r="A240" s="427"/>
      <c r="B240" s="469" t="s">
        <v>87</v>
      </c>
      <c r="C240" s="544"/>
      <c r="D240" s="544"/>
      <c r="E240" s="544"/>
      <c r="F240" s="544"/>
      <c r="G240" s="544"/>
      <c r="H240" s="544"/>
      <c r="I240" s="544"/>
      <c r="J240" s="469">
        <v>3</v>
      </c>
      <c r="K240" s="545">
        <f t="shared" si="5"/>
        <v>9.3749999999999997E-3</v>
      </c>
      <c r="L240" s="470">
        <v>58</v>
      </c>
      <c r="M240" s="545">
        <f t="shared" si="6"/>
        <v>5.3948469909775839E-3</v>
      </c>
      <c r="N240" s="520"/>
      <c r="O240" s="533"/>
      <c r="P240" s="418"/>
    </row>
    <row r="241" spans="1:17" s="419" customFormat="1" x14ac:dyDescent="0.3">
      <c r="A241" s="427"/>
      <c r="B241" s="469" t="s">
        <v>145</v>
      </c>
      <c r="C241" s="544"/>
      <c r="D241" s="544"/>
      <c r="E241" s="544"/>
      <c r="F241" s="544"/>
      <c r="G241" s="544"/>
      <c r="H241" s="544"/>
      <c r="I241" s="544"/>
      <c r="J241" s="469">
        <v>2</v>
      </c>
      <c r="K241" s="545">
        <f t="shared" si="5"/>
        <v>6.2500000000000003E-3</v>
      </c>
      <c r="L241" s="470">
        <v>184</v>
      </c>
      <c r="M241" s="545">
        <f t="shared" si="6"/>
        <v>1.711468700585992E-2</v>
      </c>
      <c r="N241" s="520"/>
      <c r="O241" s="533"/>
      <c r="P241" s="418"/>
      <c r="Q241" s="482"/>
    </row>
    <row r="242" spans="1:17" s="419" customFormat="1" x14ac:dyDescent="0.3">
      <c r="A242" s="427"/>
      <c r="B242" s="469" t="s">
        <v>146</v>
      </c>
      <c r="C242" s="544"/>
      <c r="D242" s="544"/>
      <c r="E242" s="544"/>
      <c r="F242" s="544"/>
      <c r="G242" s="544"/>
      <c r="H242" s="544"/>
      <c r="I242" s="544"/>
      <c r="J242" s="469">
        <v>1</v>
      </c>
      <c r="K242" s="545">
        <f t="shared" si="5"/>
        <v>3.1250000000000002E-3</v>
      </c>
      <c r="L242" s="470">
        <v>1</v>
      </c>
      <c r="M242" s="545">
        <f t="shared" si="6"/>
        <v>9.3014603292716958E-5</v>
      </c>
      <c r="N242" s="520"/>
      <c r="O242" s="533"/>
      <c r="P242" s="418"/>
    </row>
    <row r="243" spans="1:17" s="419" customFormat="1" x14ac:dyDescent="0.3">
      <c r="A243" s="427"/>
      <c r="B243" s="469" t="s">
        <v>147</v>
      </c>
      <c r="C243" s="544"/>
      <c r="D243" s="544"/>
      <c r="E243" s="544"/>
      <c r="F243" s="544"/>
      <c r="G243" s="544"/>
      <c r="H243" s="544"/>
      <c r="I243" s="544"/>
      <c r="J243" s="469">
        <v>1</v>
      </c>
      <c r="K243" s="545">
        <f t="shared" si="5"/>
        <v>3.1250000000000002E-3</v>
      </c>
      <c r="L243" s="470">
        <v>61</v>
      </c>
      <c r="M243" s="545">
        <f t="shared" si="6"/>
        <v>5.6738908008557342E-3</v>
      </c>
      <c r="N243" s="520"/>
      <c r="O243" s="533"/>
      <c r="P243" s="418"/>
      <c r="Q243" s="482"/>
    </row>
    <row r="244" spans="1:17" s="419" customFormat="1" x14ac:dyDescent="0.3">
      <c r="A244" s="427"/>
      <c r="B244" s="469" t="s">
        <v>227</v>
      </c>
      <c r="C244" s="544"/>
      <c r="D244" s="544"/>
      <c r="E244" s="544"/>
      <c r="F244" s="544"/>
      <c r="G244" s="544"/>
      <c r="H244" s="544"/>
      <c r="I244" s="544"/>
      <c r="J244" s="469">
        <v>3</v>
      </c>
      <c r="K244" s="545">
        <f t="shared" si="5"/>
        <v>9.3749999999999997E-3</v>
      </c>
      <c r="L244" s="470">
        <v>121</v>
      </c>
      <c r="M244" s="545">
        <f t="shared" si="6"/>
        <v>1.1254766998418752E-2</v>
      </c>
      <c r="N244" s="520"/>
      <c r="O244" s="533"/>
      <c r="P244" s="418"/>
    </row>
    <row r="245" spans="1:17" s="419" customFormat="1" x14ac:dyDescent="0.3">
      <c r="A245" s="427"/>
      <c r="B245" s="469" t="s">
        <v>228</v>
      </c>
      <c r="C245" s="544"/>
      <c r="D245" s="544"/>
      <c r="E245" s="544"/>
      <c r="F245" s="544"/>
      <c r="G245" s="544"/>
      <c r="H245" s="544"/>
      <c r="I245" s="544"/>
      <c r="J245" s="469">
        <v>0</v>
      </c>
      <c r="K245" s="545">
        <f t="shared" si="5"/>
        <v>0</v>
      </c>
      <c r="L245" s="470">
        <v>0</v>
      </c>
      <c r="M245" s="545">
        <f t="shared" si="6"/>
        <v>0</v>
      </c>
      <c r="N245" s="520"/>
      <c r="O245" s="533"/>
      <c r="P245" s="418"/>
      <c r="Q245" s="482"/>
    </row>
    <row r="246" spans="1:17" s="419" customFormat="1" x14ac:dyDescent="0.3">
      <c r="A246" s="427"/>
      <c r="B246" s="469" t="s">
        <v>229</v>
      </c>
      <c r="C246" s="544"/>
      <c r="D246" s="544"/>
      <c r="E246" s="544"/>
      <c r="F246" s="544"/>
      <c r="G246" s="544"/>
      <c r="H246" s="544"/>
      <c r="I246" s="544"/>
      <c r="J246" s="469">
        <v>1</v>
      </c>
      <c r="K246" s="545">
        <f t="shared" si="5"/>
        <v>3.1250000000000002E-3</v>
      </c>
      <c r="L246" s="470">
        <v>10</v>
      </c>
      <c r="M246" s="545">
        <f t="shared" si="6"/>
        <v>9.3014603292716953E-4</v>
      </c>
      <c r="N246" s="520"/>
      <c r="O246" s="533"/>
      <c r="P246" s="418"/>
      <c r="Q246" s="482"/>
    </row>
    <row r="247" spans="1:17" s="419" customFormat="1" x14ac:dyDescent="0.3">
      <c r="A247" s="427"/>
      <c r="B247" s="469" t="s">
        <v>230</v>
      </c>
      <c r="C247" s="544"/>
      <c r="D247" s="544"/>
      <c r="E247" s="544"/>
      <c r="F247" s="544"/>
      <c r="G247" s="544"/>
      <c r="H247" s="544"/>
      <c r="I247" s="544"/>
      <c r="J247" s="469">
        <v>1</v>
      </c>
      <c r="K247" s="545">
        <f t="shared" si="5"/>
        <v>3.1250000000000002E-3</v>
      </c>
      <c r="L247" s="470">
        <v>11</v>
      </c>
      <c r="M247" s="545">
        <f t="shared" si="6"/>
        <v>1.0231606362198866E-3</v>
      </c>
      <c r="N247" s="520"/>
      <c r="O247" s="533"/>
      <c r="P247" s="418"/>
      <c r="Q247" s="482"/>
    </row>
    <row r="248" spans="1:17" s="419" customFormat="1" x14ac:dyDescent="0.3">
      <c r="A248" s="427"/>
      <c r="B248" s="469" t="s">
        <v>231</v>
      </c>
      <c r="C248" s="544"/>
      <c r="D248" s="544"/>
      <c r="E248" s="544"/>
      <c r="F248" s="544"/>
      <c r="G248" s="544"/>
      <c r="H248" s="544"/>
      <c r="I248" s="544"/>
      <c r="J248" s="469">
        <v>0</v>
      </c>
      <c r="K248" s="545">
        <f t="shared" si="5"/>
        <v>0</v>
      </c>
      <c r="L248" s="470">
        <v>0</v>
      </c>
      <c r="M248" s="545">
        <f t="shared" si="6"/>
        <v>0</v>
      </c>
      <c r="N248" s="520"/>
      <c r="O248" s="533"/>
      <c r="P248" s="418"/>
      <c r="Q248" s="482"/>
    </row>
    <row r="249" spans="1:17" s="419" customFormat="1" x14ac:dyDescent="0.3">
      <c r="A249" s="427"/>
      <c r="B249" s="469" t="s">
        <v>232</v>
      </c>
      <c r="C249" s="544"/>
      <c r="D249" s="544"/>
      <c r="E249" s="544"/>
      <c r="F249" s="544"/>
      <c r="G249" s="544"/>
      <c r="H249" s="544"/>
      <c r="I249" s="544"/>
      <c r="J249" s="469">
        <v>0</v>
      </c>
      <c r="K249" s="545">
        <f t="shared" si="5"/>
        <v>0</v>
      </c>
      <c r="L249" s="470">
        <v>0</v>
      </c>
      <c r="M249" s="545">
        <f t="shared" si="6"/>
        <v>0</v>
      </c>
      <c r="N249" s="548"/>
      <c r="O249" s="533"/>
      <c r="P249" s="418"/>
      <c r="Q249" s="482"/>
    </row>
    <row r="250" spans="1:17" s="419" customFormat="1" x14ac:dyDescent="0.3">
      <c r="A250" s="427"/>
      <c r="B250" s="469" t="s">
        <v>233</v>
      </c>
      <c r="C250" s="544"/>
      <c r="D250" s="544"/>
      <c r="E250" s="544"/>
      <c r="F250" s="544"/>
      <c r="G250" s="544"/>
      <c r="H250" s="544"/>
      <c r="I250" s="544"/>
      <c r="J250" s="469">
        <v>4</v>
      </c>
      <c r="K250" s="545">
        <f t="shared" si="5"/>
        <v>1.2500000000000001E-2</v>
      </c>
      <c r="L250" s="470">
        <v>82</v>
      </c>
      <c r="M250" s="545">
        <f t="shared" si="6"/>
        <v>7.6271974700027906E-3</v>
      </c>
      <c r="N250" s="548"/>
      <c r="O250" s="533"/>
      <c r="P250" s="418"/>
      <c r="Q250" s="482"/>
    </row>
    <row r="251" spans="1:17" s="419" customFormat="1" ht="18" customHeight="1" x14ac:dyDescent="0.3">
      <c r="A251" s="427"/>
      <c r="B251" s="469"/>
      <c r="C251" s="544"/>
      <c r="D251" s="544"/>
      <c r="E251" s="544"/>
      <c r="F251" s="544"/>
      <c r="G251" s="544"/>
      <c r="H251" s="544"/>
      <c r="I251" s="544"/>
      <c r="J251" s="469"/>
      <c r="K251" s="545"/>
      <c r="L251" s="470"/>
      <c r="M251" s="545"/>
      <c r="N251" s="520"/>
      <c r="O251" s="533"/>
      <c r="P251" s="418"/>
      <c r="Q251" s="482"/>
    </row>
    <row r="252" spans="1:17" s="419" customFormat="1" x14ac:dyDescent="0.3">
      <c r="A252" s="427"/>
      <c r="B252" s="428"/>
      <c r="C252" s="428"/>
      <c r="D252" s="546"/>
      <c r="E252" s="546"/>
      <c r="F252" s="546"/>
      <c r="G252" s="546"/>
      <c r="H252" s="546"/>
      <c r="I252" s="546"/>
      <c r="J252" s="469">
        <f>SUM(J238:J251)</f>
        <v>320</v>
      </c>
      <c r="K252" s="545">
        <f>SUM(K238:K251)</f>
        <v>1.0000000000000002</v>
      </c>
      <c r="L252" s="470">
        <f>SUM(L238:L251)</f>
        <v>10751</v>
      </c>
      <c r="M252" s="545">
        <f>SUM(M238:M251)</f>
        <v>1.0000000000000002</v>
      </c>
      <c r="N252" s="428"/>
      <c r="O252" s="430"/>
      <c r="P252" s="418"/>
    </row>
    <row r="253" spans="1:17" x14ac:dyDescent="0.3">
      <c r="A253" s="404"/>
      <c r="B253" s="476"/>
      <c r="C253" s="476"/>
      <c r="D253" s="549"/>
      <c r="E253" s="549"/>
      <c r="F253" s="549"/>
      <c r="G253" s="549"/>
      <c r="H253" s="549"/>
      <c r="I253" s="549"/>
      <c r="J253" s="477"/>
      <c r="K253" s="550"/>
      <c r="L253" s="498"/>
      <c r="M253" s="550"/>
      <c r="N253" s="476"/>
      <c r="O253" s="476"/>
      <c r="P253" s="402"/>
    </row>
    <row r="254" spans="1:17" x14ac:dyDescent="0.3">
      <c r="A254" s="585"/>
      <c r="B254" s="599" t="s">
        <v>204</v>
      </c>
      <c r="C254" s="601"/>
      <c r="D254" s="601"/>
      <c r="E254" s="601"/>
      <c r="F254" s="601"/>
      <c r="G254" s="601"/>
      <c r="H254" s="601"/>
      <c r="I254" s="601"/>
      <c r="J254" s="619" t="s">
        <v>99</v>
      </c>
      <c r="K254" s="601" t="s">
        <v>100</v>
      </c>
      <c r="L254" s="615" t="s">
        <v>108</v>
      </c>
      <c r="M254" s="601" t="s">
        <v>100</v>
      </c>
      <c r="N254" s="591"/>
      <c r="O254" s="594"/>
      <c r="P254" s="402"/>
    </row>
    <row r="255" spans="1:17" s="419" customFormat="1" x14ac:dyDescent="0.3">
      <c r="A255" s="587"/>
      <c r="B255" s="597" t="s">
        <v>85</v>
      </c>
      <c r="C255" s="616"/>
      <c r="D255" s="616"/>
      <c r="E255" s="616"/>
      <c r="F255" s="616"/>
      <c r="G255" s="616"/>
      <c r="H255" s="616"/>
      <c r="I255" s="616"/>
      <c r="J255" s="597">
        <v>0</v>
      </c>
      <c r="K255" s="617">
        <v>0</v>
      </c>
      <c r="L255" s="598">
        <v>0</v>
      </c>
      <c r="M255" s="617">
        <v>0</v>
      </c>
      <c r="N255" s="588"/>
      <c r="O255" s="590"/>
      <c r="P255" s="418"/>
    </row>
    <row r="256" spans="1:17" s="419" customFormat="1" x14ac:dyDescent="0.3">
      <c r="A256" s="427"/>
      <c r="B256" s="469" t="s">
        <v>86</v>
      </c>
      <c r="C256" s="544"/>
      <c r="D256" s="544"/>
      <c r="E256" s="544"/>
      <c r="F256" s="544"/>
      <c r="G256" s="544"/>
      <c r="H256" s="544"/>
      <c r="I256" s="544"/>
      <c r="J256" s="469">
        <v>0</v>
      </c>
      <c r="K256" s="545">
        <v>0</v>
      </c>
      <c r="L256" s="470">
        <v>0</v>
      </c>
      <c r="M256" s="545">
        <v>0</v>
      </c>
      <c r="N256" s="428"/>
      <c r="O256" s="430"/>
      <c r="P256" s="418"/>
    </row>
    <row r="257" spans="1:16" s="419" customFormat="1" x14ac:dyDescent="0.3">
      <c r="A257" s="427"/>
      <c r="B257" s="469" t="s">
        <v>87</v>
      </c>
      <c r="C257" s="544"/>
      <c r="D257" s="544"/>
      <c r="E257" s="544"/>
      <c r="F257" s="544"/>
      <c r="G257" s="544"/>
      <c r="H257" s="544"/>
      <c r="I257" s="544"/>
      <c r="J257" s="469">
        <v>0</v>
      </c>
      <c r="K257" s="545">
        <v>0</v>
      </c>
      <c r="L257" s="470">
        <v>0</v>
      </c>
      <c r="M257" s="545">
        <v>0</v>
      </c>
      <c r="N257" s="428"/>
      <c r="O257" s="430"/>
      <c r="P257" s="418"/>
    </row>
    <row r="258" spans="1:16" s="419" customFormat="1" x14ac:dyDescent="0.3">
      <c r="A258" s="427"/>
      <c r="B258" s="469" t="s">
        <v>145</v>
      </c>
      <c r="C258" s="544"/>
      <c r="D258" s="544"/>
      <c r="E258" s="544"/>
      <c r="F258" s="544"/>
      <c r="G258" s="544"/>
      <c r="H258" s="544"/>
      <c r="I258" s="544"/>
      <c r="J258" s="469">
        <v>0</v>
      </c>
      <c r="K258" s="545">
        <v>0</v>
      </c>
      <c r="L258" s="470">
        <v>0</v>
      </c>
      <c r="M258" s="545">
        <v>0</v>
      </c>
      <c r="N258" s="428"/>
      <c r="O258" s="430"/>
      <c r="P258" s="418"/>
    </row>
    <row r="259" spans="1:16" s="419" customFormat="1" x14ac:dyDescent="0.3">
      <c r="A259" s="427"/>
      <c r="B259" s="469" t="s">
        <v>146</v>
      </c>
      <c r="C259" s="544"/>
      <c r="D259" s="544"/>
      <c r="E259" s="544"/>
      <c r="F259" s="544"/>
      <c r="G259" s="544"/>
      <c r="H259" s="544"/>
      <c r="I259" s="544"/>
      <c r="J259" s="469">
        <v>0</v>
      </c>
      <c r="K259" s="545">
        <v>0</v>
      </c>
      <c r="L259" s="470">
        <v>0</v>
      </c>
      <c r="M259" s="545">
        <v>0</v>
      </c>
      <c r="N259" s="428"/>
      <c r="O259" s="430"/>
      <c r="P259" s="418"/>
    </row>
    <row r="260" spans="1:16" s="419" customFormat="1" x14ac:dyDescent="0.3">
      <c r="A260" s="427"/>
      <c r="B260" s="469" t="s">
        <v>147</v>
      </c>
      <c r="C260" s="544"/>
      <c r="D260" s="544"/>
      <c r="E260" s="544"/>
      <c r="F260" s="544"/>
      <c r="G260" s="544"/>
      <c r="H260" s="544"/>
      <c r="I260" s="544"/>
      <c r="J260" s="469">
        <v>0</v>
      </c>
      <c r="K260" s="545">
        <v>0</v>
      </c>
      <c r="L260" s="470">
        <v>0</v>
      </c>
      <c r="M260" s="545">
        <v>0</v>
      </c>
      <c r="N260" s="428"/>
      <c r="O260" s="430"/>
      <c r="P260" s="418"/>
    </row>
    <row r="261" spans="1:16" s="419" customFormat="1" x14ac:dyDescent="0.3">
      <c r="A261" s="427"/>
      <c r="B261" s="469" t="s">
        <v>227</v>
      </c>
      <c r="C261" s="544"/>
      <c r="D261" s="544"/>
      <c r="E261" s="544"/>
      <c r="F261" s="544"/>
      <c r="G261" s="544"/>
      <c r="H261" s="544"/>
      <c r="I261" s="544"/>
      <c r="J261" s="469">
        <v>0</v>
      </c>
      <c r="K261" s="545">
        <v>0</v>
      </c>
      <c r="L261" s="470">
        <v>0</v>
      </c>
      <c r="M261" s="545">
        <v>0</v>
      </c>
      <c r="N261" s="428"/>
      <c r="O261" s="430"/>
      <c r="P261" s="418"/>
    </row>
    <row r="262" spans="1:16" s="419" customFormat="1" x14ac:dyDescent="0.3">
      <c r="A262" s="427"/>
      <c r="B262" s="469" t="s">
        <v>228</v>
      </c>
      <c r="C262" s="544"/>
      <c r="D262" s="544"/>
      <c r="E262" s="544"/>
      <c r="F262" s="544"/>
      <c r="G262" s="544"/>
      <c r="H262" s="544"/>
      <c r="I262" s="544"/>
      <c r="J262" s="469">
        <v>0</v>
      </c>
      <c r="K262" s="545">
        <v>0</v>
      </c>
      <c r="L262" s="470">
        <v>0</v>
      </c>
      <c r="M262" s="545">
        <v>0</v>
      </c>
      <c r="N262" s="428"/>
      <c r="O262" s="430"/>
      <c r="P262" s="418"/>
    </row>
    <row r="263" spans="1:16" s="419" customFormat="1" x14ac:dyDescent="0.3">
      <c r="A263" s="427"/>
      <c r="B263" s="469" t="s">
        <v>229</v>
      </c>
      <c r="C263" s="544"/>
      <c r="D263" s="544"/>
      <c r="E263" s="544"/>
      <c r="F263" s="544"/>
      <c r="G263" s="544"/>
      <c r="H263" s="544"/>
      <c r="I263" s="544"/>
      <c r="J263" s="469">
        <v>0</v>
      </c>
      <c r="K263" s="545">
        <v>0</v>
      </c>
      <c r="L263" s="470">
        <v>0</v>
      </c>
      <c r="M263" s="545">
        <v>0</v>
      </c>
      <c r="N263" s="428"/>
      <c r="O263" s="430"/>
      <c r="P263" s="418"/>
    </row>
    <row r="264" spans="1:16" s="419" customFormat="1" x14ac:dyDescent="0.3">
      <c r="A264" s="427"/>
      <c r="B264" s="469" t="s">
        <v>230</v>
      </c>
      <c r="C264" s="544"/>
      <c r="D264" s="544"/>
      <c r="E264" s="544"/>
      <c r="F264" s="544"/>
      <c r="G264" s="544"/>
      <c r="H264" s="544"/>
      <c r="I264" s="544"/>
      <c r="J264" s="469">
        <v>0</v>
      </c>
      <c r="K264" s="545">
        <v>0</v>
      </c>
      <c r="L264" s="470">
        <v>0</v>
      </c>
      <c r="M264" s="545">
        <v>0</v>
      </c>
      <c r="N264" s="428"/>
      <c r="O264" s="430"/>
      <c r="P264" s="418"/>
    </row>
    <row r="265" spans="1:16" s="419" customFormat="1" x14ac:dyDescent="0.3">
      <c r="A265" s="427"/>
      <c r="B265" s="469" t="s">
        <v>231</v>
      </c>
      <c r="C265" s="544"/>
      <c r="D265" s="544"/>
      <c r="E265" s="544"/>
      <c r="F265" s="544"/>
      <c r="G265" s="544"/>
      <c r="H265" s="544"/>
      <c r="I265" s="544"/>
      <c r="J265" s="469">
        <v>0</v>
      </c>
      <c r="K265" s="545">
        <v>0</v>
      </c>
      <c r="L265" s="470">
        <v>0</v>
      </c>
      <c r="M265" s="545">
        <v>0</v>
      </c>
      <c r="N265" s="428"/>
      <c r="O265" s="430"/>
      <c r="P265" s="418"/>
    </row>
    <row r="266" spans="1:16" s="419" customFormat="1" x14ac:dyDescent="0.3">
      <c r="A266" s="427"/>
      <c r="B266" s="469" t="s">
        <v>232</v>
      </c>
      <c r="C266" s="544"/>
      <c r="D266" s="544"/>
      <c r="E266" s="544"/>
      <c r="F266" s="544"/>
      <c r="G266" s="544"/>
      <c r="H266" s="544"/>
      <c r="I266" s="544"/>
      <c r="J266" s="469">
        <v>0</v>
      </c>
      <c r="K266" s="545">
        <v>0</v>
      </c>
      <c r="L266" s="470">
        <v>0</v>
      </c>
      <c r="M266" s="545">
        <v>0</v>
      </c>
      <c r="N266" s="428"/>
      <c r="O266" s="430"/>
      <c r="P266" s="418"/>
    </row>
    <row r="267" spans="1:16" s="419" customFormat="1" x14ac:dyDescent="0.3">
      <c r="A267" s="427"/>
      <c r="B267" s="469" t="s">
        <v>233</v>
      </c>
      <c r="C267" s="544"/>
      <c r="D267" s="544"/>
      <c r="E267" s="544"/>
      <c r="F267" s="544"/>
      <c r="G267" s="544"/>
      <c r="H267" s="544"/>
      <c r="I267" s="544"/>
      <c r="J267" s="469">
        <v>0</v>
      </c>
      <c r="K267" s="545">
        <v>0</v>
      </c>
      <c r="L267" s="470">
        <v>0</v>
      </c>
      <c r="M267" s="545">
        <v>0</v>
      </c>
      <c r="N267" s="428"/>
      <c r="O267" s="430"/>
      <c r="P267" s="418"/>
    </row>
    <row r="268" spans="1:16" s="419" customFormat="1" x14ac:dyDescent="0.3">
      <c r="A268" s="427"/>
      <c r="B268" s="469"/>
      <c r="C268" s="544"/>
      <c r="D268" s="544"/>
      <c r="E268" s="544"/>
      <c r="F268" s="544"/>
      <c r="G268" s="544"/>
      <c r="H268" s="544"/>
      <c r="I268" s="544"/>
      <c r="J268" s="469"/>
      <c r="K268" s="545"/>
      <c r="L268" s="470"/>
      <c r="M268" s="545"/>
      <c r="N268" s="428"/>
      <c r="O268" s="430"/>
      <c r="P268" s="418"/>
    </row>
    <row r="269" spans="1:16" s="419" customFormat="1" x14ac:dyDescent="0.3">
      <c r="A269" s="427"/>
      <c r="B269" s="428"/>
      <c r="C269" s="428"/>
      <c r="D269" s="546"/>
      <c r="E269" s="546"/>
      <c r="F269" s="546"/>
      <c r="G269" s="546"/>
      <c r="H269" s="546"/>
      <c r="I269" s="546"/>
      <c r="J269" s="469">
        <f>SUM(J255:J268)</f>
        <v>0</v>
      </c>
      <c r="K269" s="545">
        <f>SUM(K255:K268)</f>
        <v>0</v>
      </c>
      <c r="L269" s="470">
        <f>SUM(L255:L268)</f>
        <v>0</v>
      </c>
      <c r="M269" s="545">
        <f>SUM(M255:M268)</f>
        <v>0</v>
      </c>
      <c r="N269" s="428"/>
      <c r="O269" s="430"/>
      <c r="P269" s="418"/>
    </row>
    <row r="270" spans="1:16" x14ac:dyDescent="0.3">
      <c r="A270" s="404"/>
      <c r="B270" s="476"/>
      <c r="C270" s="476"/>
      <c r="D270" s="549"/>
      <c r="E270" s="549"/>
      <c r="F270" s="549"/>
      <c r="G270" s="549"/>
      <c r="H270" s="549"/>
      <c r="I270" s="549"/>
      <c r="J270" s="477"/>
      <c r="K270" s="550"/>
      <c r="L270" s="498"/>
      <c r="M270" s="550"/>
      <c r="N270" s="476"/>
      <c r="O270" s="476"/>
      <c r="P270" s="402"/>
    </row>
    <row r="271" spans="1:16" x14ac:dyDescent="0.3">
      <c r="A271" s="585"/>
      <c r="B271" s="599" t="s">
        <v>150</v>
      </c>
      <c r="C271" s="591"/>
      <c r="D271" s="621"/>
      <c r="E271" s="621"/>
      <c r="F271" s="621"/>
      <c r="G271" s="621"/>
      <c r="H271" s="621"/>
      <c r="I271" s="621"/>
      <c r="J271" s="619" t="s">
        <v>99</v>
      </c>
      <c r="K271" s="601" t="s">
        <v>100</v>
      </c>
      <c r="L271" s="615" t="s">
        <v>108</v>
      </c>
      <c r="M271" s="601" t="s">
        <v>100</v>
      </c>
      <c r="N271" s="591"/>
      <c r="O271" s="594"/>
      <c r="P271" s="402"/>
    </row>
    <row r="272" spans="1:16" s="419" customFormat="1" x14ac:dyDescent="0.3">
      <c r="A272" s="587"/>
      <c r="B272" s="597" t="s">
        <v>85</v>
      </c>
      <c r="C272" s="588"/>
      <c r="D272" s="622"/>
      <c r="E272" s="622"/>
      <c r="F272" s="622"/>
      <c r="G272" s="622"/>
      <c r="H272" s="622"/>
      <c r="I272" s="622"/>
      <c r="J272" s="597">
        <v>0</v>
      </c>
      <c r="K272" s="617">
        <v>0</v>
      </c>
      <c r="L272" s="598">
        <v>0</v>
      </c>
      <c r="M272" s="617">
        <v>0</v>
      </c>
      <c r="N272" s="588"/>
      <c r="O272" s="590"/>
      <c r="P272" s="418"/>
    </row>
    <row r="273" spans="1:16" s="419" customFormat="1" x14ac:dyDescent="0.3">
      <c r="A273" s="427"/>
      <c r="B273" s="469" t="s">
        <v>86</v>
      </c>
      <c r="C273" s="428"/>
      <c r="D273" s="546"/>
      <c r="E273" s="546"/>
      <c r="F273" s="546"/>
      <c r="G273" s="546"/>
      <c r="H273" s="546"/>
      <c r="I273" s="546"/>
      <c r="J273" s="469">
        <v>0</v>
      </c>
      <c r="K273" s="545">
        <v>0</v>
      </c>
      <c r="L273" s="470">
        <v>0</v>
      </c>
      <c r="M273" s="545">
        <v>0</v>
      </c>
      <c r="N273" s="428"/>
      <c r="O273" s="430"/>
      <c r="P273" s="418"/>
    </row>
    <row r="274" spans="1:16" s="419" customFormat="1" x14ac:dyDescent="0.3">
      <c r="A274" s="427"/>
      <c r="B274" s="469" t="s">
        <v>87</v>
      </c>
      <c r="C274" s="428"/>
      <c r="D274" s="546"/>
      <c r="E274" s="546"/>
      <c r="F274" s="546"/>
      <c r="G274" s="546"/>
      <c r="H274" s="546"/>
      <c r="I274" s="546"/>
      <c r="J274" s="469">
        <v>0</v>
      </c>
      <c r="K274" s="545">
        <v>0</v>
      </c>
      <c r="L274" s="470">
        <v>0</v>
      </c>
      <c r="M274" s="545">
        <v>0</v>
      </c>
      <c r="N274" s="428"/>
      <c r="O274" s="430"/>
      <c r="P274" s="418"/>
    </row>
    <row r="275" spans="1:16" s="419" customFormat="1" x14ac:dyDescent="0.3">
      <c r="A275" s="427"/>
      <c r="B275" s="469" t="s">
        <v>145</v>
      </c>
      <c r="C275" s="428"/>
      <c r="D275" s="546"/>
      <c r="E275" s="546"/>
      <c r="F275" s="546"/>
      <c r="G275" s="546"/>
      <c r="H275" s="546"/>
      <c r="I275" s="546"/>
      <c r="J275" s="469">
        <v>0</v>
      </c>
      <c r="K275" s="545">
        <v>0</v>
      </c>
      <c r="L275" s="470">
        <v>0</v>
      </c>
      <c r="M275" s="545">
        <v>0</v>
      </c>
      <c r="N275" s="428"/>
      <c r="O275" s="430"/>
      <c r="P275" s="418"/>
    </row>
    <row r="276" spans="1:16" s="419" customFormat="1" x14ac:dyDescent="0.3">
      <c r="A276" s="427"/>
      <c r="B276" s="469" t="s">
        <v>146</v>
      </c>
      <c r="C276" s="428"/>
      <c r="D276" s="546"/>
      <c r="E276" s="546"/>
      <c r="F276" s="546"/>
      <c r="G276" s="546"/>
      <c r="H276" s="546"/>
      <c r="I276" s="546"/>
      <c r="J276" s="469">
        <v>0</v>
      </c>
      <c r="K276" s="545">
        <v>0</v>
      </c>
      <c r="L276" s="470">
        <v>0</v>
      </c>
      <c r="M276" s="545">
        <v>0</v>
      </c>
      <c r="N276" s="428"/>
      <c r="O276" s="430"/>
      <c r="P276" s="418"/>
    </row>
    <row r="277" spans="1:16" s="419" customFormat="1" x14ac:dyDescent="0.3">
      <c r="A277" s="427"/>
      <c r="B277" s="469" t="s">
        <v>147</v>
      </c>
      <c r="C277" s="428"/>
      <c r="D277" s="546"/>
      <c r="E277" s="546"/>
      <c r="F277" s="546"/>
      <c r="G277" s="546"/>
      <c r="H277" s="546"/>
      <c r="I277" s="546"/>
      <c r="J277" s="469">
        <v>0</v>
      </c>
      <c r="K277" s="545">
        <v>0</v>
      </c>
      <c r="L277" s="470">
        <v>0</v>
      </c>
      <c r="M277" s="545">
        <v>0</v>
      </c>
      <c r="N277" s="428"/>
      <c r="O277" s="430"/>
      <c r="P277" s="418"/>
    </row>
    <row r="278" spans="1:16" s="419" customFormat="1" x14ac:dyDescent="0.3">
      <c r="A278" s="427"/>
      <c r="B278" s="469" t="s">
        <v>227</v>
      </c>
      <c r="C278" s="428"/>
      <c r="D278" s="546"/>
      <c r="E278" s="546"/>
      <c r="F278" s="546"/>
      <c r="G278" s="546"/>
      <c r="H278" s="546"/>
      <c r="I278" s="546"/>
      <c r="J278" s="469">
        <v>0</v>
      </c>
      <c r="K278" s="545">
        <v>0</v>
      </c>
      <c r="L278" s="470">
        <v>0</v>
      </c>
      <c r="M278" s="545">
        <v>0</v>
      </c>
      <c r="N278" s="428"/>
      <c r="O278" s="430"/>
      <c r="P278" s="418"/>
    </row>
    <row r="279" spans="1:16" s="419" customFormat="1" x14ac:dyDescent="0.3">
      <c r="A279" s="427"/>
      <c r="B279" s="469" t="s">
        <v>228</v>
      </c>
      <c r="C279" s="428"/>
      <c r="D279" s="546"/>
      <c r="E279" s="546"/>
      <c r="F279" s="546"/>
      <c r="G279" s="546"/>
      <c r="H279" s="546"/>
      <c r="I279" s="546"/>
      <c r="J279" s="469">
        <v>0</v>
      </c>
      <c r="K279" s="545">
        <v>0</v>
      </c>
      <c r="L279" s="470">
        <v>0</v>
      </c>
      <c r="M279" s="545">
        <v>0</v>
      </c>
      <c r="N279" s="428"/>
      <c r="O279" s="430"/>
      <c r="P279" s="418"/>
    </row>
    <row r="280" spans="1:16" s="419" customFormat="1" x14ac:dyDescent="0.3">
      <c r="A280" s="427"/>
      <c r="B280" s="469" t="s">
        <v>229</v>
      </c>
      <c r="C280" s="428"/>
      <c r="D280" s="546"/>
      <c r="E280" s="546"/>
      <c r="F280" s="546"/>
      <c r="G280" s="546"/>
      <c r="H280" s="546"/>
      <c r="I280" s="546"/>
      <c r="J280" s="469">
        <v>0</v>
      </c>
      <c r="K280" s="545">
        <v>0</v>
      </c>
      <c r="L280" s="470">
        <v>0</v>
      </c>
      <c r="M280" s="545">
        <v>0</v>
      </c>
      <c r="N280" s="428"/>
      <c r="O280" s="430"/>
      <c r="P280" s="418"/>
    </row>
    <row r="281" spans="1:16" s="419" customFormat="1" x14ac:dyDescent="0.3">
      <c r="A281" s="427"/>
      <c r="B281" s="469" t="s">
        <v>230</v>
      </c>
      <c r="C281" s="428"/>
      <c r="D281" s="546"/>
      <c r="E281" s="546"/>
      <c r="F281" s="546"/>
      <c r="G281" s="546"/>
      <c r="H281" s="546"/>
      <c r="I281" s="546"/>
      <c r="J281" s="469">
        <v>1</v>
      </c>
      <c r="K281" s="545">
        <v>1</v>
      </c>
      <c r="L281" s="470">
        <v>109</v>
      </c>
      <c r="M281" s="545">
        <v>1</v>
      </c>
      <c r="N281" s="428"/>
      <c r="O281" s="430"/>
      <c r="P281" s="418"/>
    </row>
    <row r="282" spans="1:16" s="419" customFormat="1" x14ac:dyDescent="0.3">
      <c r="A282" s="427"/>
      <c r="B282" s="469" t="s">
        <v>231</v>
      </c>
      <c r="C282" s="428"/>
      <c r="D282" s="546"/>
      <c r="E282" s="546"/>
      <c r="F282" s="546"/>
      <c r="G282" s="546"/>
      <c r="H282" s="546"/>
      <c r="I282" s="546"/>
      <c r="J282" s="469">
        <v>0</v>
      </c>
      <c r="K282" s="545">
        <v>0</v>
      </c>
      <c r="L282" s="470">
        <v>0</v>
      </c>
      <c r="M282" s="545">
        <v>0</v>
      </c>
      <c r="N282" s="428"/>
      <c r="O282" s="430"/>
      <c r="P282" s="418"/>
    </row>
    <row r="283" spans="1:16" s="419" customFormat="1" x14ac:dyDescent="0.3">
      <c r="A283" s="427"/>
      <c r="B283" s="469" t="s">
        <v>232</v>
      </c>
      <c r="C283" s="428"/>
      <c r="D283" s="546"/>
      <c r="E283" s="546"/>
      <c r="F283" s="546"/>
      <c r="G283" s="546"/>
      <c r="H283" s="546"/>
      <c r="I283" s="546"/>
      <c r="J283" s="469">
        <v>0</v>
      </c>
      <c r="K283" s="545">
        <v>0</v>
      </c>
      <c r="L283" s="470">
        <v>0</v>
      </c>
      <c r="M283" s="545">
        <v>0</v>
      </c>
      <c r="N283" s="428"/>
      <c r="O283" s="430"/>
      <c r="P283" s="418"/>
    </row>
    <row r="284" spans="1:16" s="419" customFormat="1" x14ac:dyDescent="0.3">
      <c r="A284" s="427"/>
      <c r="B284" s="469" t="s">
        <v>233</v>
      </c>
      <c r="C284" s="428"/>
      <c r="D284" s="546"/>
      <c r="E284" s="546"/>
      <c r="F284" s="546"/>
      <c r="G284" s="546"/>
      <c r="H284" s="546"/>
      <c r="I284" s="546"/>
      <c r="J284" s="469">
        <v>0</v>
      </c>
      <c r="K284" s="545">
        <v>0</v>
      </c>
      <c r="L284" s="470">
        <v>0</v>
      </c>
      <c r="M284" s="545">
        <v>0</v>
      </c>
      <c r="N284" s="428"/>
      <c r="O284" s="430"/>
      <c r="P284" s="418"/>
    </row>
    <row r="285" spans="1:16" s="419" customFormat="1" x14ac:dyDescent="0.3">
      <c r="A285" s="427"/>
      <c r="B285" s="469"/>
      <c r="C285" s="428"/>
      <c r="D285" s="546"/>
      <c r="E285" s="546"/>
      <c r="F285" s="546"/>
      <c r="G285" s="546"/>
      <c r="H285" s="546"/>
      <c r="I285" s="546"/>
      <c r="J285" s="469"/>
      <c r="K285" s="545"/>
      <c r="L285" s="470"/>
      <c r="M285" s="545"/>
      <c r="N285" s="428"/>
      <c r="O285" s="430"/>
      <c r="P285" s="418"/>
    </row>
    <row r="286" spans="1:16" s="419" customFormat="1" x14ac:dyDescent="0.3">
      <c r="A286" s="427"/>
      <c r="B286" s="428" t="s">
        <v>114</v>
      </c>
      <c r="C286" s="428"/>
      <c r="D286" s="546"/>
      <c r="E286" s="546"/>
      <c r="F286" s="546"/>
      <c r="G286" s="546"/>
      <c r="H286" s="546"/>
      <c r="I286" s="546"/>
      <c r="J286" s="469">
        <f>SUM(J272:J284)</f>
        <v>1</v>
      </c>
      <c r="K286" s="545">
        <f>SUM(K272:K284)</f>
        <v>1</v>
      </c>
      <c r="L286" s="470">
        <f>SUM(L272:L284)</f>
        <v>109</v>
      </c>
      <c r="M286" s="545">
        <f>SUM(M272:M284)</f>
        <v>1</v>
      </c>
      <c r="N286" s="428"/>
      <c r="O286" s="430"/>
      <c r="P286" s="418"/>
    </row>
    <row r="287" spans="1:16" s="419" customFormat="1" x14ac:dyDescent="0.3">
      <c r="A287" s="427"/>
      <c r="B287" s="428"/>
      <c r="C287" s="428"/>
      <c r="D287" s="546"/>
      <c r="E287" s="546"/>
      <c r="F287" s="546"/>
      <c r="G287" s="546"/>
      <c r="H287" s="546"/>
      <c r="I287" s="546"/>
      <c r="J287" s="469"/>
      <c r="K287" s="545"/>
      <c r="L287" s="470"/>
      <c r="M287" s="545"/>
      <c r="N287" s="428"/>
      <c r="O287" s="430"/>
      <c r="P287" s="418"/>
    </row>
    <row r="288" spans="1:16" s="419" customFormat="1" x14ac:dyDescent="0.3">
      <c r="A288" s="427"/>
      <c r="B288" s="433" t="s">
        <v>151</v>
      </c>
      <c r="C288" s="428"/>
      <c r="D288" s="546"/>
      <c r="E288" s="546"/>
      <c r="F288" s="546"/>
      <c r="G288" s="546"/>
      <c r="H288" s="546"/>
      <c r="I288" s="546"/>
      <c r="J288" s="551">
        <f>J286+J269+J252</f>
        <v>321</v>
      </c>
      <c r="K288" s="545"/>
      <c r="L288" s="552">
        <f>+L286+L269+L252</f>
        <v>10860</v>
      </c>
      <c r="M288" s="545"/>
      <c r="N288" s="428"/>
      <c r="O288" s="430"/>
      <c r="P288" s="418"/>
    </row>
    <row r="289" spans="1:16" s="419" customFormat="1" x14ac:dyDescent="0.3">
      <c r="A289" s="415"/>
      <c r="B289" s="458"/>
      <c r="C289" s="458"/>
      <c r="D289" s="553"/>
      <c r="E289" s="553"/>
      <c r="F289" s="553"/>
      <c r="G289" s="553"/>
      <c r="H289" s="553"/>
      <c r="I289" s="553"/>
      <c r="J289" s="553"/>
      <c r="K289" s="553"/>
      <c r="L289" s="554"/>
      <c r="M289" s="553"/>
      <c r="N289" s="458"/>
      <c r="O289" s="458"/>
      <c r="P289" s="418"/>
    </row>
    <row r="290" spans="1:16" s="419" customFormat="1" x14ac:dyDescent="0.3">
      <c r="A290" s="415"/>
      <c r="B290" s="416"/>
      <c r="C290" s="416"/>
      <c r="D290" s="555"/>
      <c r="E290" s="555"/>
      <c r="F290" s="555"/>
      <c r="G290" s="555"/>
      <c r="H290" s="555"/>
      <c r="I290" s="555"/>
      <c r="J290" s="555"/>
      <c r="K290" s="555"/>
      <c r="L290" s="556"/>
      <c r="M290" s="555"/>
      <c r="N290" s="416"/>
      <c r="O290" s="416"/>
      <c r="P290" s="418"/>
    </row>
    <row r="291" spans="1:16" s="419" customFormat="1" x14ac:dyDescent="0.3">
      <c r="A291" s="415"/>
      <c r="B291" s="414" t="s">
        <v>88</v>
      </c>
      <c r="C291" s="416"/>
      <c r="D291" s="422" t="s">
        <v>94</v>
      </c>
      <c r="E291" s="416"/>
      <c r="F291" s="414" t="s">
        <v>96</v>
      </c>
      <c r="G291" s="416"/>
      <c r="H291" s="416"/>
      <c r="I291" s="416"/>
      <c r="J291" s="422"/>
      <c r="K291" s="416"/>
      <c r="L291" s="414"/>
      <c r="M291" s="416"/>
      <c r="N291" s="416"/>
      <c r="O291" s="416"/>
      <c r="P291" s="418"/>
    </row>
    <row r="292" spans="1:16" s="419" customFormat="1" x14ac:dyDescent="0.3">
      <c r="A292" s="415"/>
      <c r="B292" s="416"/>
      <c r="C292" s="416"/>
      <c r="D292" s="416"/>
      <c r="E292" s="416"/>
      <c r="F292" s="416"/>
      <c r="G292" s="416"/>
      <c r="H292" s="416"/>
      <c r="I292" s="416"/>
      <c r="J292" s="416"/>
      <c r="K292" s="416"/>
      <c r="L292" s="416"/>
      <c r="M292" s="416"/>
      <c r="N292" s="416"/>
      <c r="O292" s="416"/>
      <c r="P292" s="418"/>
    </row>
    <row r="293" spans="1:16" s="419" customFormat="1" x14ac:dyDescent="0.3">
      <c r="A293" s="557"/>
      <c r="B293" s="414" t="s">
        <v>273</v>
      </c>
      <c r="C293" s="414"/>
      <c r="D293" s="558" t="s">
        <v>240</v>
      </c>
      <c r="E293" s="558"/>
      <c r="F293" s="623" t="s">
        <v>295</v>
      </c>
      <c r="G293" s="414"/>
      <c r="H293" s="416"/>
      <c r="I293" s="416"/>
      <c r="J293" s="558"/>
      <c r="K293" s="414"/>
      <c r="L293" s="414"/>
      <c r="M293" s="416"/>
      <c r="N293" s="416"/>
      <c r="O293" s="416"/>
      <c r="P293" s="418"/>
    </row>
    <row r="294" spans="1:16" s="419" customFormat="1" x14ac:dyDescent="0.3">
      <c r="A294" s="415"/>
      <c r="B294" s="414" t="s">
        <v>274</v>
      </c>
      <c r="C294" s="414"/>
      <c r="D294" s="558" t="s">
        <v>137</v>
      </c>
      <c r="E294" s="414"/>
      <c r="F294" s="623" t="s">
        <v>296</v>
      </c>
      <c r="G294" s="416"/>
      <c r="H294" s="416"/>
      <c r="I294" s="416"/>
      <c r="J294" s="558"/>
      <c r="K294" s="414"/>
      <c r="L294" s="414"/>
      <c r="M294" s="416"/>
      <c r="N294" s="416"/>
      <c r="O294" s="416"/>
      <c r="P294" s="418"/>
    </row>
    <row r="295" spans="1:16" s="419" customFormat="1" x14ac:dyDescent="0.3">
      <c r="A295" s="415"/>
      <c r="B295" s="414"/>
      <c r="C295" s="414"/>
      <c r="D295" s="416"/>
      <c r="E295" s="416"/>
      <c r="F295" s="416"/>
      <c r="G295" s="416"/>
      <c r="H295" s="416"/>
      <c r="I295" s="416"/>
      <c r="J295" s="416"/>
      <c r="K295" s="416"/>
      <c r="L295" s="416"/>
      <c r="M295" s="416"/>
      <c r="N295" s="416"/>
      <c r="O295" s="416"/>
      <c r="P295" s="418"/>
    </row>
    <row r="296" spans="1:16" s="419" customFormat="1" x14ac:dyDescent="0.3">
      <c r="A296" s="415"/>
      <c r="B296" s="414"/>
      <c r="C296" s="414"/>
      <c r="D296" s="416"/>
      <c r="E296" s="416"/>
      <c r="F296" s="416"/>
      <c r="G296" s="416"/>
      <c r="H296" s="416"/>
      <c r="I296" s="416"/>
      <c r="J296" s="416"/>
      <c r="K296" s="416"/>
      <c r="L296" s="416"/>
      <c r="M296" s="416"/>
      <c r="N296" s="416"/>
      <c r="O296" s="416"/>
      <c r="P296" s="418"/>
    </row>
    <row r="297" spans="1:16" s="419" customFormat="1" ht="18.600000000000001" thickBot="1" x14ac:dyDescent="0.4">
      <c r="A297" s="415"/>
      <c r="B297" s="559" t="str">
        <f>B182</f>
        <v>FF7 INVESTOR REPORT QUARTER ENDING NOVEMBER 2018</v>
      </c>
      <c r="C297" s="414"/>
      <c r="D297" s="416"/>
      <c r="E297" s="416"/>
      <c r="F297" s="416"/>
      <c r="G297" s="416"/>
      <c r="H297" s="416"/>
      <c r="I297" s="416"/>
      <c r="J297" s="416"/>
      <c r="K297" s="416"/>
      <c r="L297" s="416"/>
      <c r="M297" s="416"/>
      <c r="N297" s="416"/>
      <c r="O297" s="416"/>
      <c r="P297" s="418"/>
    </row>
    <row r="298" spans="1:16" x14ac:dyDescent="0.3">
      <c r="A298" s="560"/>
      <c r="B298" s="560"/>
      <c r="C298" s="560"/>
      <c r="D298" s="560"/>
      <c r="E298" s="560"/>
      <c r="F298" s="560"/>
      <c r="G298" s="560"/>
      <c r="H298" s="560"/>
      <c r="I298" s="560"/>
      <c r="J298" s="560"/>
      <c r="K298" s="560"/>
      <c r="L298" s="560"/>
      <c r="M298" s="560"/>
      <c r="N298" s="560"/>
      <c r="O298" s="560"/>
    </row>
  </sheetData>
  <hyperlinks>
    <hyperlink ref="K9" r:id="rId1"/>
    <hyperlink ref="K218" r:id="rId2"/>
  </hyperlinks>
  <printOptions horizontalCentered="1" verticalCentered="1"/>
  <pageMargins left="0.19685039370078741" right="0.19685039370078741" top="0.27559055118110237" bottom="0.27559055118110237" header="0" footer="0"/>
  <pageSetup scale="53" orientation="landscape" r:id="rId3"/>
  <headerFooter alignWithMargins="0"/>
  <rowBreaks count="3" manualBreakCount="3">
    <brk id="52" max="14" man="1"/>
    <brk id="115" max="14" man="1"/>
    <brk id="182" max="14" man="1"/>
  </rowBreaks>
  <colBreaks count="1" manualBreakCount="1">
    <brk id="15" max="298" man="1"/>
  </colBreak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V298"/>
  <sheetViews>
    <sheetView showGridLines="0" showOutlineSymbols="0" zoomScale="80" zoomScaleNormal="80" workbookViewId="0"/>
  </sheetViews>
  <sheetFormatPr defaultColWidth="9.6328125" defaultRowHeight="15.6" x14ac:dyDescent="0.3"/>
  <cols>
    <col min="1" max="1" width="4" style="403" customWidth="1"/>
    <col min="2" max="2" width="75.1796875" style="403" customWidth="1"/>
    <col min="3" max="3" width="2.1796875" style="403" customWidth="1"/>
    <col min="4" max="4" width="17.90625" style="403" customWidth="1"/>
    <col min="5" max="5" width="2.36328125" style="403" customWidth="1"/>
    <col min="6" max="6" width="13.08984375" style="403" customWidth="1"/>
    <col min="7" max="7" width="2.36328125" style="403" customWidth="1"/>
    <col min="8" max="8" width="15.54296875" style="403" customWidth="1"/>
    <col min="9" max="9" width="2.1796875" style="403" customWidth="1"/>
    <col min="10" max="10" width="15.54296875" style="403" customWidth="1"/>
    <col min="11" max="12" width="12.6328125" style="403" customWidth="1"/>
    <col min="13" max="13" width="7.81640625" style="403" customWidth="1"/>
    <col min="14" max="14" width="14.6328125" style="403" customWidth="1"/>
    <col min="15" max="15" width="11.81640625" style="403" customWidth="1"/>
    <col min="16" max="16384" width="9.6328125" style="403"/>
  </cols>
  <sheetData>
    <row r="1" spans="1:16" ht="21" x14ac:dyDescent="0.4">
      <c r="A1" s="399"/>
      <c r="B1" s="400" t="s">
        <v>184</v>
      </c>
      <c r="C1" s="401"/>
      <c r="D1" s="401"/>
      <c r="E1" s="401"/>
      <c r="F1" s="401"/>
      <c r="G1" s="401"/>
      <c r="H1" s="401"/>
      <c r="I1" s="401"/>
      <c r="J1" s="401"/>
      <c r="K1" s="401"/>
      <c r="L1" s="401"/>
      <c r="M1" s="401"/>
      <c r="N1" s="401"/>
      <c r="O1" s="401"/>
      <c r="P1" s="402"/>
    </row>
    <row r="2" spans="1:16" x14ac:dyDescent="0.3">
      <c r="A2" s="404"/>
      <c r="B2" s="405"/>
      <c r="C2" s="406"/>
      <c r="D2" s="406"/>
      <c r="E2" s="406"/>
      <c r="F2" s="406"/>
      <c r="G2" s="406"/>
      <c r="H2" s="406"/>
      <c r="I2" s="406"/>
      <c r="J2" s="406"/>
      <c r="K2" s="406"/>
      <c r="L2" s="406"/>
      <c r="M2" s="406"/>
      <c r="N2" s="406"/>
      <c r="O2" s="406"/>
      <c r="P2" s="402"/>
    </row>
    <row r="3" spans="1:16" x14ac:dyDescent="0.3">
      <c r="A3" s="407"/>
      <c r="B3" s="408" t="s">
        <v>185</v>
      </c>
      <c r="C3" s="406"/>
      <c r="D3" s="406"/>
      <c r="E3" s="406"/>
      <c r="F3" s="406"/>
      <c r="G3" s="406"/>
      <c r="H3" s="406"/>
      <c r="I3" s="406"/>
      <c r="J3" s="406"/>
      <c r="K3" s="406"/>
      <c r="L3" s="406"/>
      <c r="M3" s="406"/>
      <c r="N3" s="406"/>
      <c r="O3" s="406"/>
      <c r="P3" s="402"/>
    </row>
    <row r="4" spans="1:16" x14ac:dyDescent="0.3">
      <c r="A4" s="404"/>
      <c r="B4" s="405"/>
      <c r="C4" s="406"/>
      <c r="D4" s="406"/>
      <c r="E4" s="406"/>
      <c r="F4" s="406"/>
      <c r="G4" s="406"/>
      <c r="H4" s="406"/>
      <c r="I4" s="406"/>
      <c r="J4" s="406"/>
      <c r="K4" s="406"/>
      <c r="L4" s="406"/>
      <c r="M4" s="406"/>
      <c r="N4" s="406"/>
      <c r="O4" s="406"/>
      <c r="P4" s="402"/>
    </row>
    <row r="5" spans="1:16" x14ac:dyDescent="0.3">
      <c r="A5" s="404"/>
      <c r="B5" s="409" t="s">
        <v>243</v>
      </c>
      <c r="C5" s="406"/>
      <c r="D5" s="406"/>
      <c r="E5" s="406"/>
      <c r="F5" s="406"/>
      <c r="G5" s="406"/>
      <c r="H5" s="406"/>
      <c r="I5" s="406"/>
      <c r="J5" s="406"/>
      <c r="K5" s="406"/>
      <c r="L5" s="406"/>
      <c r="M5" s="406"/>
      <c r="N5" s="406"/>
      <c r="O5" s="406"/>
      <c r="P5" s="402"/>
    </row>
    <row r="6" spans="1:16" x14ac:dyDescent="0.3">
      <c r="A6" s="404"/>
      <c r="B6" s="409" t="s">
        <v>187</v>
      </c>
      <c r="C6" s="406"/>
      <c r="D6" s="406"/>
      <c r="E6" s="406"/>
      <c r="F6" s="406"/>
      <c r="G6" s="406"/>
      <c r="H6" s="406"/>
      <c r="I6" s="406"/>
      <c r="J6" s="406"/>
      <c r="K6" s="406"/>
      <c r="L6" s="406"/>
      <c r="M6" s="406"/>
      <c r="N6" s="406"/>
      <c r="O6" s="406"/>
      <c r="P6" s="402"/>
    </row>
    <row r="7" spans="1:16" x14ac:dyDescent="0.3">
      <c r="A7" s="404"/>
      <c r="B7" s="409" t="s">
        <v>188</v>
      </c>
      <c r="C7" s="406"/>
      <c r="D7" s="406"/>
      <c r="E7" s="406"/>
      <c r="F7" s="406"/>
      <c r="G7" s="406"/>
      <c r="H7" s="406"/>
      <c r="I7" s="406"/>
      <c r="J7" s="406"/>
      <c r="K7" s="406"/>
      <c r="L7" s="406"/>
      <c r="M7" s="406"/>
      <c r="N7" s="406"/>
      <c r="O7" s="406"/>
      <c r="P7" s="402"/>
    </row>
    <row r="8" spans="1:16" x14ac:dyDescent="0.3">
      <c r="A8" s="404"/>
      <c r="B8" s="410"/>
      <c r="C8" s="406"/>
      <c r="D8" s="406"/>
      <c r="E8" s="406"/>
      <c r="F8" s="406"/>
      <c r="G8" s="406"/>
      <c r="H8" s="406"/>
      <c r="I8" s="406"/>
      <c r="J8" s="406"/>
      <c r="K8" s="406"/>
      <c r="L8" s="406"/>
      <c r="M8" s="406"/>
      <c r="N8" s="406"/>
      <c r="O8" s="406"/>
      <c r="P8" s="402"/>
    </row>
    <row r="9" spans="1:16" ht="18" x14ac:dyDescent="0.35">
      <c r="A9" s="404"/>
      <c r="B9" s="411" t="s">
        <v>153</v>
      </c>
      <c r="C9" s="406"/>
      <c r="D9" s="412"/>
      <c r="E9" s="406"/>
      <c r="F9" s="412"/>
      <c r="G9" s="406"/>
      <c r="H9" s="406"/>
      <c r="I9" s="406"/>
      <c r="J9" s="406"/>
      <c r="K9" s="398" t="s">
        <v>293</v>
      </c>
      <c r="L9" s="406"/>
      <c r="M9" s="406"/>
      <c r="N9" s="406"/>
      <c r="O9" s="406"/>
      <c r="P9" s="402"/>
    </row>
    <row r="10" spans="1:16" x14ac:dyDescent="0.3">
      <c r="A10" s="404"/>
      <c r="B10" s="410"/>
      <c r="C10" s="413"/>
      <c r="D10" s="406"/>
      <c r="E10" s="406"/>
      <c r="F10" s="406"/>
      <c r="G10" s="406"/>
      <c r="H10" s="406"/>
      <c r="I10" s="406"/>
      <c r="J10" s="406"/>
      <c r="K10" s="406"/>
      <c r="L10" s="406"/>
      <c r="M10" s="406"/>
      <c r="N10" s="406"/>
      <c r="O10" s="406"/>
      <c r="P10" s="402"/>
    </row>
    <row r="11" spans="1:16" x14ac:dyDescent="0.3">
      <c r="A11" s="404"/>
      <c r="B11" s="414" t="s">
        <v>0</v>
      </c>
      <c r="C11" s="406"/>
      <c r="D11" s="406"/>
      <c r="E11" s="406"/>
      <c r="F11" s="406"/>
      <c r="G11" s="406"/>
      <c r="H11" s="406"/>
      <c r="I11" s="406"/>
      <c r="J11" s="406"/>
      <c r="K11" s="406"/>
      <c r="L11" s="406"/>
      <c r="M11" s="406"/>
      <c r="N11" s="406"/>
      <c r="O11" s="406"/>
      <c r="P11" s="402"/>
    </row>
    <row r="12" spans="1:16" ht="16.2" thickBot="1" x14ac:dyDescent="0.35">
      <c r="A12" s="404"/>
      <c r="B12" s="413"/>
      <c r="C12" s="406"/>
      <c r="D12" s="406"/>
      <c r="E12" s="406"/>
      <c r="F12" s="406"/>
      <c r="G12" s="406"/>
      <c r="H12" s="406"/>
      <c r="I12" s="406"/>
      <c r="J12" s="406"/>
      <c r="K12" s="406"/>
      <c r="L12" s="406"/>
      <c r="M12" s="406"/>
      <c r="N12" s="406"/>
      <c r="O12" s="406"/>
      <c r="P12" s="402"/>
    </row>
    <row r="13" spans="1:16" x14ac:dyDescent="0.3">
      <c r="A13" s="399"/>
      <c r="B13" s="401"/>
      <c r="C13" s="401"/>
      <c r="D13" s="401"/>
      <c r="E13" s="401"/>
      <c r="F13" s="401"/>
      <c r="G13" s="401"/>
      <c r="H13" s="401"/>
      <c r="I13" s="401"/>
      <c r="J13" s="401"/>
      <c r="K13" s="401"/>
      <c r="L13" s="401"/>
      <c r="M13" s="401"/>
      <c r="N13" s="401"/>
      <c r="O13" s="401"/>
      <c r="P13" s="402"/>
    </row>
    <row r="14" spans="1:16" s="419" customFormat="1" x14ac:dyDescent="0.3">
      <c r="A14" s="415"/>
      <c r="B14" s="414" t="s">
        <v>1</v>
      </c>
      <c r="C14" s="416"/>
      <c r="D14" s="416"/>
      <c r="E14" s="416"/>
      <c r="F14" s="416"/>
      <c r="G14" s="416"/>
      <c r="H14" s="416"/>
      <c r="I14" s="416"/>
      <c r="J14" s="416"/>
      <c r="K14" s="416"/>
      <c r="L14" s="416"/>
      <c r="M14" s="416"/>
      <c r="N14" s="417" t="s">
        <v>186</v>
      </c>
      <c r="O14" s="416"/>
      <c r="P14" s="418"/>
    </row>
    <row r="15" spans="1:16" s="419" customFormat="1" x14ac:dyDescent="0.3">
      <c r="A15" s="415"/>
      <c r="B15" s="414" t="s">
        <v>2</v>
      </c>
      <c r="C15" s="416"/>
      <c r="D15" s="420"/>
      <c r="E15" s="420"/>
      <c r="F15" s="420"/>
      <c r="G15" s="420"/>
      <c r="H15" s="420"/>
      <c r="I15" s="420"/>
      <c r="J15" s="420" t="s">
        <v>101</v>
      </c>
      <c r="K15" s="421">
        <v>4.07E-2</v>
      </c>
      <c r="L15" s="422" t="s">
        <v>133</v>
      </c>
      <c r="M15" s="421">
        <v>0.95930000000000004</v>
      </c>
      <c r="N15" s="417"/>
      <c r="O15" s="416"/>
      <c r="P15" s="418"/>
    </row>
    <row r="16" spans="1:16" s="419" customFormat="1" x14ac:dyDescent="0.3">
      <c r="A16" s="415"/>
      <c r="B16" s="414" t="s">
        <v>3</v>
      </c>
      <c r="C16" s="416"/>
      <c r="D16" s="420"/>
      <c r="E16" s="420"/>
      <c r="F16" s="420"/>
      <c r="G16" s="420"/>
      <c r="H16" s="420"/>
      <c r="I16" s="420"/>
      <c r="J16" s="420" t="s">
        <v>101</v>
      </c>
      <c r="K16" s="421">
        <v>0.16200000000000001</v>
      </c>
      <c r="L16" s="422" t="s">
        <v>133</v>
      </c>
      <c r="M16" s="421">
        <v>0.83799999999999997</v>
      </c>
      <c r="N16" s="417"/>
      <c r="O16" s="416"/>
      <c r="P16" s="418"/>
    </row>
    <row r="17" spans="1:16" s="419" customFormat="1" x14ac:dyDescent="0.3">
      <c r="A17" s="415"/>
      <c r="B17" s="414" t="s">
        <v>4</v>
      </c>
      <c r="C17" s="416"/>
      <c r="D17" s="416"/>
      <c r="E17" s="416"/>
      <c r="F17" s="416"/>
      <c r="G17" s="416"/>
      <c r="H17" s="416"/>
      <c r="I17" s="416"/>
      <c r="J17" s="416"/>
      <c r="K17" s="416"/>
      <c r="L17" s="416"/>
      <c r="M17" s="416"/>
      <c r="N17" s="423">
        <v>39107</v>
      </c>
      <c r="O17" s="416"/>
      <c r="P17" s="418"/>
    </row>
    <row r="18" spans="1:16" s="419" customFormat="1" x14ac:dyDescent="0.3">
      <c r="A18" s="415"/>
      <c r="B18" s="414" t="s">
        <v>5</v>
      </c>
      <c r="C18" s="416"/>
      <c r="D18" s="416"/>
      <c r="E18" s="416"/>
      <c r="F18" s="416"/>
      <c r="G18" s="416"/>
      <c r="H18" s="416"/>
      <c r="I18" s="416"/>
      <c r="J18" s="416"/>
      <c r="K18" s="416"/>
      <c r="L18" s="416"/>
      <c r="M18" s="416"/>
      <c r="N18" s="423">
        <v>43542</v>
      </c>
      <c r="O18" s="416"/>
      <c r="P18" s="418"/>
    </row>
    <row r="19" spans="1:16" s="419" customFormat="1" x14ac:dyDescent="0.3">
      <c r="A19" s="415"/>
      <c r="B19" s="416"/>
      <c r="C19" s="416"/>
      <c r="D19" s="416"/>
      <c r="E19" s="416"/>
      <c r="F19" s="416"/>
      <c r="G19" s="416"/>
      <c r="H19" s="416"/>
      <c r="I19" s="416"/>
      <c r="J19" s="416"/>
      <c r="K19" s="416"/>
      <c r="L19" s="416"/>
      <c r="M19" s="416"/>
      <c r="N19" s="424"/>
      <c r="O19" s="416"/>
      <c r="P19" s="418"/>
    </row>
    <row r="20" spans="1:16" s="419" customFormat="1" x14ac:dyDescent="0.3">
      <c r="A20" s="415"/>
      <c r="B20" s="425" t="s">
        <v>6</v>
      </c>
      <c r="C20" s="416"/>
      <c r="D20" s="416"/>
      <c r="E20" s="416"/>
      <c r="F20" s="416"/>
      <c r="G20" s="416"/>
      <c r="H20" s="416"/>
      <c r="I20" s="416"/>
      <c r="J20" s="416"/>
      <c r="K20" s="416"/>
      <c r="L20" s="424" t="s">
        <v>102</v>
      </c>
      <c r="M20" s="416"/>
      <c r="N20" s="416"/>
      <c r="O20" s="416"/>
      <c r="P20" s="418"/>
    </row>
    <row r="21" spans="1:16" x14ac:dyDescent="0.3">
      <c r="A21" s="404"/>
      <c r="B21" s="406"/>
      <c r="C21" s="406"/>
      <c r="D21" s="406"/>
      <c r="E21" s="406"/>
      <c r="F21" s="406"/>
      <c r="G21" s="406"/>
      <c r="H21" s="406"/>
      <c r="I21" s="406"/>
      <c r="J21" s="406"/>
      <c r="K21" s="406"/>
      <c r="L21" s="406"/>
      <c r="M21" s="406"/>
      <c r="N21" s="426"/>
      <c r="O21" s="406"/>
      <c r="P21" s="402"/>
    </row>
    <row r="22" spans="1:16" x14ac:dyDescent="0.3">
      <c r="A22" s="585"/>
      <c r="B22" s="591"/>
      <c r="C22" s="592"/>
      <c r="D22" s="592" t="s">
        <v>103</v>
      </c>
      <c r="E22" s="592"/>
      <c r="F22" s="592" t="s">
        <v>189</v>
      </c>
      <c r="G22" s="592"/>
      <c r="H22" s="592" t="s">
        <v>190</v>
      </c>
      <c r="I22" s="592"/>
      <c r="J22" s="592"/>
      <c r="K22" s="593"/>
      <c r="L22" s="593"/>
      <c r="M22" s="591"/>
      <c r="N22" s="591"/>
      <c r="O22" s="594"/>
      <c r="P22" s="402"/>
    </row>
    <row r="23" spans="1:16" s="419" customFormat="1" x14ac:dyDescent="0.3">
      <c r="A23" s="587"/>
      <c r="B23" s="588" t="s">
        <v>7</v>
      </c>
      <c r="C23" s="589"/>
      <c r="D23" s="589" t="s">
        <v>134</v>
      </c>
      <c r="E23" s="589"/>
      <c r="F23" s="589" t="s">
        <v>152</v>
      </c>
      <c r="G23" s="589"/>
      <c r="H23" s="589" t="s">
        <v>135</v>
      </c>
      <c r="I23" s="589"/>
      <c r="J23" s="589"/>
      <c r="K23" s="589"/>
      <c r="L23" s="589"/>
      <c r="M23" s="588"/>
      <c r="N23" s="588"/>
      <c r="O23" s="590"/>
      <c r="P23" s="418"/>
    </row>
    <row r="24" spans="1:16" s="419" customFormat="1" x14ac:dyDescent="0.3">
      <c r="A24" s="431"/>
      <c r="B24" s="428" t="s">
        <v>162</v>
      </c>
      <c r="C24" s="432"/>
      <c r="D24" s="429" t="s">
        <v>134</v>
      </c>
      <c r="E24" s="429"/>
      <c r="F24" s="429" t="s">
        <v>152</v>
      </c>
      <c r="G24" s="429"/>
      <c r="H24" s="429" t="s">
        <v>135</v>
      </c>
      <c r="I24" s="429"/>
      <c r="J24" s="429"/>
      <c r="K24" s="432"/>
      <c r="L24" s="429"/>
      <c r="M24" s="428"/>
      <c r="N24" s="428"/>
      <c r="O24" s="430"/>
      <c r="P24" s="418"/>
    </row>
    <row r="25" spans="1:16" s="419" customFormat="1" x14ac:dyDescent="0.3">
      <c r="A25" s="427"/>
      <c r="B25" s="433" t="s">
        <v>163</v>
      </c>
      <c r="C25" s="429"/>
      <c r="D25" s="432" t="s">
        <v>134</v>
      </c>
      <c r="E25" s="432"/>
      <c r="F25" s="432" t="s">
        <v>267</v>
      </c>
      <c r="G25" s="432"/>
      <c r="H25" s="432" t="s">
        <v>267</v>
      </c>
      <c r="I25" s="432"/>
      <c r="J25" s="432"/>
      <c r="K25" s="429"/>
      <c r="L25" s="434"/>
      <c r="M25" s="428"/>
      <c r="N25" s="428"/>
      <c r="O25" s="430"/>
      <c r="P25" s="418"/>
    </row>
    <row r="26" spans="1:16" s="419" customFormat="1" x14ac:dyDescent="0.3">
      <c r="A26" s="427"/>
      <c r="B26" s="433" t="s">
        <v>164</v>
      </c>
      <c r="C26" s="429"/>
      <c r="D26" s="432" t="s">
        <v>134</v>
      </c>
      <c r="E26" s="432"/>
      <c r="F26" s="432" t="s">
        <v>135</v>
      </c>
      <c r="G26" s="432"/>
      <c r="H26" s="432" t="s">
        <v>135</v>
      </c>
      <c r="I26" s="432"/>
      <c r="J26" s="432"/>
      <c r="K26" s="429"/>
      <c r="L26" s="434"/>
      <c r="M26" s="428"/>
      <c r="N26" s="428"/>
      <c r="O26" s="430"/>
      <c r="P26" s="418"/>
    </row>
    <row r="27" spans="1:16" s="419" customFormat="1" x14ac:dyDescent="0.3">
      <c r="A27" s="427"/>
      <c r="B27" s="428" t="s">
        <v>8</v>
      </c>
      <c r="C27" s="435"/>
      <c r="D27" s="429" t="s">
        <v>218</v>
      </c>
      <c r="E27" s="429"/>
      <c r="F27" s="429" t="s">
        <v>219</v>
      </c>
      <c r="G27" s="429"/>
      <c r="H27" s="429" t="s">
        <v>220</v>
      </c>
      <c r="I27" s="429"/>
      <c r="J27" s="429"/>
      <c r="K27" s="436"/>
      <c r="L27" s="436"/>
      <c r="M27" s="435"/>
      <c r="N27" s="436"/>
      <c r="O27" s="437"/>
      <c r="P27" s="418"/>
    </row>
    <row r="28" spans="1:16" s="419" customFormat="1" x14ac:dyDescent="0.3">
      <c r="A28" s="431"/>
      <c r="B28" s="428" t="s">
        <v>129</v>
      </c>
      <c r="C28" s="438"/>
      <c r="D28" s="436">
        <v>260500</v>
      </c>
      <c r="E28" s="436"/>
      <c r="F28" s="436">
        <v>4050</v>
      </c>
      <c r="G28" s="436"/>
      <c r="H28" s="436">
        <v>4050</v>
      </c>
      <c r="I28" s="436"/>
      <c r="J28" s="439"/>
      <c r="K28" s="440"/>
      <c r="L28" s="440"/>
      <c r="M28" s="438"/>
      <c r="N28" s="436">
        <f>SUM(D28:H28)</f>
        <v>268600</v>
      </c>
      <c r="O28" s="437"/>
      <c r="P28" s="418"/>
    </row>
    <row r="29" spans="1:16" s="419" customFormat="1" x14ac:dyDescent="0.3">
      <c r="A29" s="427"/>
      <c r="B29" s="428" t="s">
        <v>128</v>
      </c>
      <c r="C29" s="435"/>
      <c r="D29" s="436">
        <f>D28*D32</f>
        <v>7662.9721999999992</v>
      </c>
      <c r="E29" s="436"/>
      <c r="F29" s="436">
        <f>F28*F32</f>
        <v>1598.20047</v>
      </c>
      <c r="G29" s="436"/>
      <c r="H29" s="436">
        <f>H28*H32</f>
        <v>1598.20047</v>
      </c>
      <c r="I29" s="436"/>
      <c r="J29" s="439"/>
      <c r="K29" s="436"/>
      <c r="L29" s="436"/>
      <c r="M29" s="435"/>
      <c r="N29" s="436">
        <f>SUM(D29:H29)+1</f>
        <v>10860.37314</v>
      </c>
      <c r="O29" s="437"/>
      <c r="P29" s="418"/>
    </row>
    <row r="30" spans="1:16" s="419" customFormat="1" x14ac:dyDescent="0.3">
      <c r="A30" s="427"/>
      <c r="B30" s="433" t="s">
        <v>130</v>
      </c>
      <c r="C30" s="435"/>
      <c r="D30" s="440">
        <f>D28*D31</f>
        <v>6855.1095999999998</v>
      </c>
      <c r="E30" s="440"/>
      <c r="F30" s="440">
        <f>F28*F31</f>
        <v>1598.20047</v>
      </c>
      <c r="G30" s="440"/>
      <c r="H30" s="440">
        <f>H28*H31</f>
        <v>1598.20047</v>
      </c>
      <c r="I30" s="440"/>
      <c r="J30" s="441"/>
      <c r="K30" s="436"/>
      <c r="L30" s="436"/>
      <c r="M30" s="435"/>
      <c r="N30" s="440">
        <f>SUM(D30:I30)</f>
        <v>10051.510539999999</v>
      </c>
      <c r="O30" s="437"/>
      <c r="P30" s="418"/>
    </row>
    <row r="31" spans="1:16" s="569" customFormat="1" x14ac:dyDescent="0.3">
      <c r="A31" s="561"/>
      <c r="B31" s="562" t="s">
        <v>126</v>
      </c>
      <c r="C31" s="563"/>
      <c r="D31" s="564">
        <v>2.63152E-2</v>
      </c>
      <c r="E31" s="564"/>
      <c r="F31" s="564">
        <v>0.39461740000000001</v>
      </c>
      <c r="G31" s="564"/>
      <c r="H31" s="564">
        <v>0.39461740000000001</v>
      </c>
      <c r="I31" s="565"/>
      <c r="J31" s="565"/>
      <c r="K31" s="566"/>
      <c r="L31" s="566"/>
      <c r="M31" s="563"/>
      <c r="N31" s="563"/>
      <c r="O31" s="567"/>
      <c r="P31" s="568"/>
    </row>
    <row r="32" spans="1:16" s="569" customFormat="1" x14ac:dyDescent="0.3">
      <c r="A32" s="561"/>
      <c r="B32" s="562" t="s">
        <v>127</v>
      </c>
      <c r="C32" s="563"/>
      <c r="D32" s="564">
        <v>2.9416399999999999E-2</v>
      </c>
      <c r="E32" s="564"/>
      <c r="F32" s="564">
        <v>0.39461740000000001</v>
      </c>
      <c r="G32" s="564"/>
      <c r="H32" s="564">
        <v>0.39461740000000001</v>
      </c>
      <c r="I32" s="565"/>
      <c r="J32" s="565"/>
      <c r="K32" s="570"/>
      <c r="L32" s="571"/>
      <c r="M32" s="563"/>
      <c r="N32" s="570"/>
      <c r="O32" s="567"/>
      <c r="P32" s="568"/>
    </row>
    <row r="33" spans="1:17" s="419" customFormat="1" x14ac:dyDescent="0.3">
      <c r="A33" s="427"/>
      <c r="B33" s="428" t="s">
        <v>9</v>
      </c>
      <c r="C33" s="428"/>
      <c r="D33" s="434" t="s">
        <v>193</v>
      </c>
      <c r="E33" s="434"/>
      <c r="F33" s="434" t="s">
        <v>195</v>
      </c>
      <c r="G33" s="434"/>
      <c r="H33" s="434" t="s">
        <v>197</v>
      </c>
      <c r="I33" s="434"/>
      <c r="J33" s="434"/>
      <c r="K33" s="446"/>
      <c r="L33" s="447"/>
      <c r="M33" s="428"/>
      <c r="N33" s="428"/>
      <c r="O33" s="430"/>
      <c r="P33" s="418"/>
    </row>
    <row r="34" spans="1:17" s="419" customFormat="1" x14ac:dyDescent="0.3">
      <c r="A34" s="427"/>
      <c r="B34" s="428" t="s">
        <v>10</v>
      </c>
      <c r="C34" s="428"/>
      <c r="D34" s="447">
        <v>1.14638E-2</v>
      </c>
      <c r="E34" s="446"/>
      <c r="F34" s="447">
        <v>1.2663799999999999E-2</v>
      </c>
      <c r="G34" s="446"/>
      <c r="H34" s="447">
        <v>1.4663799999999999E-2</v>
      </c>
      <c r="I34" s="446"/>
      <c r="J34" s="447"/>
      <c r="K34" s="446"/>
      <c r="L34" s="447"/>
      <c r="M34" s="428"/>
      <c r="N34" s="446">
        <f>SUMPRODUCT(D34:H34,D29:H29)/N29</f>
        <v>1.2110243559304814E-2</v>
      </c>
      <c r="O34" s="430"/>
      <c r="P34" s="418"/>
    </row>
    <row r="35" spans="1:17" s="419" customFormat="1" x14ac:dyDescent="0.3">
      <c r="A35" s="427"/>
      <c r="B35" s="428" t="s">
        <v>11</v>
      </c>
      <c r="C35" s="428"/>
      <c r="D35" s="447">
        <v>1.03731E-2</v>
      </c>
      <c r="E35" s="446"/>
      <c r="F35" s="447">
        <v>1.1573099999999999E-2</v>
      </c>
      <c r="G35" s="446"/>
      <c r="H35" s="447">
        <v>1.3573099999999999E-2</v>
      </c>
      <c r="I35" s="447"/>
      <c r="J35" s="447"/>
      <c r="K35" s="446"/>
      <c r="L35" s="447"/>
      <c r="M35" s="428"/>
      <c r="N35" s="446" t="s">
        <v>165</v>
      </c>
      <c r="O35" s="430"/>
      <c r="P35" s="418"/>
    </row>
    <row r="36" spans="1:17" s="419" customFormat="1" x14ac:dyDescent="0.3">
      <c r="A36" s="427"/>
      <c r="B36" s="428" t="s">
        <v>12</v>
      </c>
      <c r="C36" s="428"/>
      <c r="D36" s="448">
        <v>40617</v>
      </c>
      <c r="E36" s="448"/>
      <c r="F36" s="448">
        <v>40617</v>
      </c>
      <c r="G36" s="448"/>
      <c r="H36" s="448">
        <v>40617</v>
      </c>
      <c r="I36" s="448"/>
      <c r="J36" s="448"/>
      <c r="K36" s="434"/>
      <c r="L36" s="434"/>
      <c r="M36" s="428"/>
      <c r="N36" s="428"/>
      <c r="O36" s="430"/>
      <c r="P36" s="418"/>
    </row>
    <row r="37" spans="1:17" s="419" customFormat="1" x14ac:dyDescent="0.3">
      <c r="A37" s="427"/>
      <c r="B37" s="428" t="s">
        <v>13</v>
      </c>
      <c r="C37" s="428"/>
      <c r="D37" s="448">
        <v>40983</v>
      </c>
      <c r="E37" s="434"/>
      <c r="F37" s="448">
        <v>40983</v>
      </c>
      <c r="G37" s="434"/>
      <c r="H37" s="448">
        <v>40983</v>
      </c>
      <c r="I37" s="434"/>
      <c r="J37" s="448"/>
      <c r="K37" s="434"/>
      <c r="L37" s="434"/>
      <c r="M37" s="428"/>
      <c r="N37" s="428"/>
      <c r="O37" s="430"/>
      <c r="P37" s="418"/>
    </row>
    <row r="38" spans="1:17" s="419" customFormat="1" x14ac:dyDescent="0.3">
      <c r="A38" s="427"/>
      <c r="B38" s="428" t="s">
        <v>118</v>
      </c>
      <c r="C38" s="428"/>
      <c r="D38" s="434" t="s">
        <v>193</v>
      </c>
      <c r="E38" s="434"/>
      <c r="F38" s="434" t="s">
        <v>195</v>
      </c>
      <c r="G38" s="434"/>
      <c r="H38" s="434" t="s">
        <v>197</v>
      </c>
      <c r="I38" s="434"/>
      <c r="J38" s="434"/>
      <c r="K38" s="449"/>
      <c r="L38" s="449"/>
      <c r="M38" s="449"/>
      <c r="N38" s="449"/>
      <c r="O38" s="430"/>
      <c r="P38" s="418"/>
    </row>
    <row r="39" spans="1:17" s="419" customFormat="1" x14ac:dyDescent="0.3">
      <c r="A39" s="427"/>
      <c r="B39" s="428"/>
      <c r="C39" s="428"/>
      <c r="D39" s="434"/>
      <c r="E39" s="434"/>
      <c r="F39" s="447"/>
      <c r="G39" s="434"/>
      <c r="H39" s="447"/>
      <c r="I39" s="434"/>
      <c r="J39" s="434"/>
      <c r="K39" s="428"/>
      <c r="L39" s="428"/>
      <c r="M39" s="428"/>
      <c r="N39" s="446" t="s">
        <v>165</v>
      </c>
      <c r="O39" s="430"/>
      <c r="P39" s="418"/>
    </row>
    <row r="40" spans="1:17" s="419" customFormat="1" x14ac:dyDescent="0.3">
      <c r="A40" s="427"/>
      <c r="B40" s="428" t="s">
        <v>156</v>
      </c>
      <c r="C40" s="428"/>
      <c r="D40" s="434"/>
      <c r="E40" s="434"/>
      <c r="F40" s="434"/>
      <c r="G40" s="434"/>
      <c r="H40" s="434"/>
      <c r="I40" s="434"/>
      <c r="J40" s="434"/>
      <c r="K40" s="428"/>
      <c r="L40" s="428"/>
      <c r="M40" s="428"/>
      <c r="N40" s="446">
        <f>SUM(F28:H28)/SUM(D28)</f>
        <v>3.109404990403071E-2</v>
      </c>
      <c r="O40" s="430"/>
      <c r="P40" s="418"/>
    </row>
    <row r="41" spans="1:17" s="419" customFormat="1" x14ac:dyDescent="0.3">
      <c r="A41" s="427"/>
      <c r="B41" s="428" t="s">
        <v>157</v>
      </c>
      <c r="C41" s="428"/>
      <c r="D41" s="428"/>
      <c r="E41" s="428"/>
      <c r="F41" s="428"/>
      <c r="G41" s="428"/>
      <c r="H41" s="428"/>
      <c r="I41" s="428"/>
      <c r="J41" s="428"/>
      <c r="K41" s="428"/>
      <c r="L41" s="428"/>
      <c r="M41" s="428"/>
      <c r="N41" s="446">
        <f>SUM(F30:H30)/SUM(D30)</f>
        <v>0.46628006356017998</v>
      </c>
      <c r="O41" s="430"/>
      <c r="P41" s="418"/>
    </row>
    <row r="42" spans="1:17" s="419" customFormat="1" x14ac:dyDescent="0.3">
      <c r="A42" s="427"/>
      <c r="B42" s="428" t="s">
        <v>158</v>
      </c>
      <c r="C42" s="428"/>
      <c r="D42" s="428"/>
      <c r="E42" s="428"/>
      <c r="F42" s="428"/>
      <c r="G42" s="428"/>
      <c r="H42" s="428"/>
      <c r="I42" s="428"/>
      <c r="J42" s="428"/>
      <c r="K42" s="428"/>
      <c r="L42" s="434" t="s">
        <v>103</v>
      </c>
      <c r="M42" s="434" t="s">
        <v>109</v>
      </c>
      <c r="N42" s="436">
        <f>+N28/2-SUM(F28:H28)</f>
        <v>126200</v>
      </c>
      <c r="O42" s="430"/>
      <c r="P42" s="418"/>
    </row>
    <row r="43" spans="1:17" s="419" customFormat="1" x14ac:dyDescent="0.3">
      <c r="A43" s="427"/>
      <c r="B43" s="428"/>
      <c r="C43" s="428"/>
      <c r="D43" s="428"/>
      <c r="E43" s="428"/>
      <c r="F43" s="428"/>
      <c r="G43" s="428"/>
      <c r="H43" s="428"/>
      <c r="I43" s="428"/>
      <c r="J43" s="428"/>
      <c r="K43" s="428"/>
      <c r="L43" s="428"/>
      <c r="M43" s="428"/>
      <c r="N43" s="450"/>
      <c r="O43" s="430"/>
      <c r="P43" s="418"/>
    </row>
    <row r="44" spans="1:17" s="419" customFormat="1" x14ac:dyDescent="0.3">
      <c r="A44" s="427"/>
      <c r="B44" s="428" t="s">
        <v>198</v>
      </c>
      <c r="C44" s="428"/>
      <c r="D44" s="428"/>
      <c r="E44" s="428"/>
      <c r="F44" s="428"/>
      <c r="G44" s="428"/>
      <c r="H44" s="428"/>
      <c r="I44" s="428"/>
      <c r="J44" s="428"/>
      <c r="K44" s="428"/>
      <c r="L44" s="434"/>
      <c r="M44" s="434"/>
      <c r="N44" s="451" t="s">
        <v>111</v>
      </c>
      <c r="O44" s="430"/>
      <c r="P44" s="418"/>
    </row>
    <row r="45" spans="1:17" s="419" customFormat="1" x14ac:dyDescent="0.3">
      <c r="A45" s="427"/>
      <c r="B45" s="433" t="s">
        <v>168</v>
      </c>
      <c r="C45" s="433"/>
      <c r="D45" s="433"/>
      <c r="E45" s="433"/>
      <c r="F45" s="433"/>
      <c r="G45" s="433"/>
      <c r="H45" s="433"/>
      <c r="I45" s="433"/>
      <c r="J45" s="433"/>
      <c r="K45" s="433"/>
      <c r="L45" s="452"/>
      <c r="M45" s="452"/>
      <c r="N45" s="453">
        <v>43539</v>
      </c>
      <c r="O45" s="430"/>
      <c r="P45" s="418"/>
    </row>
    <row r="46" spans="1:17" s="419" customFormat="1" x14ac:dyDescent="0.3">
      <c r="A46" s="427"/>
      <c r="B46" s="428" t="s">
        <v>119</v>
      </c>
      <c r="C46" s="428"/>
      <c r="D46" s="454"/>
      <c r="E46" s="454"/>
      <c r="F46" s="454"/>
      <c r="G46" s="454"/>
      <c r="H46" s="454"/>
      <c r="I46" s="454"/>
      <c r="J46" s="428">
        <f>+N46-L46+1</f>
        <v>91</v>
      </c>
      <c r="K46" s="454"/>
      <c r="L46" s="455">
        <v>43360</v>
      </c>
      <c r="M46" s="456"/>
      <c r="N46" s="455">
        <v>43450</v>
      </c>
      <c r="O46" s="430"/>
      <c r="P46" s="418"/>
    </row>
    <row r="47" spans="1:17" s="419" customFormat="1" x14ac:dyDescent="0.3">
      <c r="A47" s="427"/>
      <c r="B47" s="428" t="s">
        <v>120</v>
      </c>
      <c r="C47" s="428"/>
      <c r="D47" s="428"/>
      <c r="E47" s="428"/>
      <c r="F47" s="428"/>
      <c r="G47" s="428"/>
      <c r="H47" s="428"/>
      <c r="I47" s="428"/>
      <c r="J47" s="428">
        <f>+N47-L47+1</f>
        <v>88</v>
      </c>
      <c r="K47" s="428"/>
      <c r="L47" s="455">
        <v>43451</v>
      </c>
      <c r="M47" s="456"/>
      <c r="N47" s="455">
        <v>43538</v>
      </c>
      <c r="O47" s="430"/>
      <c r="P47" s="418"/>
    </row>
    <row r="48" spans="1:17" s="419" customFormat="1" x14ac:dyDescent="0.3">
      <c r="A48" s="427"/>
      <c r="B48" s="428" t="s">
        <v>199</v>
      </c>
      <c r="C48" s="428"/>
      <c r="D48" s="428"/>
      <c r="E48" s="428"/>
      <c r="F48" s="428"/>
      <c r="G48" s="428"/>
      <c r="H48" s="428"/>
      <c r="I48" s="428"/>
      <c r="J48" s="428"/>
      <c r="K48" s="428"/>
      <c r="L48" s="455"/>
      <c r="M48" s="456"/>
      <c r="N48" s="455" t="s">
        <v>143</v>
      </c>
      <c r="O48" s="430"/>
      <c r="P48" s="418"/>
      <c r="Q48" s="457"/>
    </row>
    <row r="49" spans="1:16" s="419" customFormat="1" x14ac:dyDescent="0.3">
      <c r="A49" s="427"/>
      <c r="B49" s="428" t="s">
        <v>14</v>
      </c>
      <c r="C49" s="428"/>
      <c r="D49" s="428"/>
      <c r="E49" s="428"/>
      <c r="F49" s="428"/>
      <c r="G49" s="428"/>
      <c r="H49" s="428"/>
      <c r="I49" s="428"/>
      <c r="J49" s="428"/>
      <c r="K49" s="428"/>
      <c r="L49" s="455"/>
      <c r="M49" s="456"/>
      <c r="N49" s="455">
        <v>43525</v>
      </c>
      <c r="O49" s="430"/>
      <c r="P49" s="418"/>
    </row>
    <row r="50" spans="1:16" s="419" customFormat="1" x14ac:dyDescent="0.3">
      <c r="A50" s="415"/>
      <c r="B50" s="458"/>
      <c r="C50" s="458"/>
      <c r="D50" s="458"/>
      <c r="E50" s="458"/>
      <c r="F50" s="458"/>
      <c r="G50" s="458"/>
      <c r="H50" s="458"/>
      <c r="I50" s="458"/>
      <c r="J50" s="458"/>
      <c r="K50" s="458"/>
      <c r="L50" s="459"/>
      <c r="M50" s="460"/>
      <c r="N50" s="459"/>
      <c r="O50" s="458"/>
      <c r="P50" s="418"/>
    </row>
    <row r="51" spans="1:16" s="419" customFormat="1" x14ac:dyDescent="0.3">
      <c r="A51" s="415"/>
      <c r="B51" s="416"/>
      <c r="C51" s="416"/>
      <c r="D51" s="416"/>
      <c r="E51" s="416"/>
      <c r="F51" s="416"/>
      <c r="G51" s="416"/>
      <c r="H51" s="416"/>
      <c r="I51" s="416"/>
      <c r="J51" s="416"/>
      <c r="K51" s="416"/>
      <c r="L51" s="461"/>
      <c r="M51" s="462"/>
      <c r="N51" s="461"/>
      <c r="O51" s="416"/>
      <c r="P51" s="418"/>
    </row>
    <row r="52" spans="1:16" s="419" customFormat="1" ht="18.600000000000001" thickBot="1" x14ac:dyDescent="0.4">
      <c r="A52" s="463"/>
      <c r="B52" s="464" t="s">
        <v>302</v>
      </c>
      <c r="C52" s="465"/>
      <c r="D52" s="465"/>
      <c r="E52" s="465"/>
      <c r="F52" s="465"/>
      <c r="G52" s="465"/>
      <c r="H52" s="465"/>
      <c r="I52" s="465"/>
      <c r="J52" s="465"/>
      <c r="K52" s="465"/>
      <c r="L52" s="465"/>
      <c r="M52" s="465"/>
      <c r="N52" s="466"/>
      <c r="O52" s="467"/>
      <c r="P52" s="418"/>
    </row>
    <row r="53" spans="1:16" x14ac:dyDescent="0.3">
      <c r="A53" s="585"/>
      <c r="B53" s="595" t="s">
        <v>15</v>
      </c>
      <c r="C53" s="586"/>
      <c r="D53" s="586"/>
      <c r="E53" s="586"/>
      <c r="F53" s="586"/>
      <c r="G53" s="586"/>
      <c r="H53" s="586"/>
      <c r="I53" s="586"/>
      <c r="J53" s="586"/>
      <c r="K53" s="586"/>
      <c r="L53" s="586"/>
      <c r="M53" s="586"/>
      <c r="N53" s="596"/>
      <c r="O53" s="586"/>
      <c r="P53" s="402"/>
    </row>
    <row r="54" spans="1:16" x14ac:dyDescent="0.3">
      <c r="A54" s="404"/>
      <c r="B54" s="413"/>
      <c r="C54" s="406"/>
      <c r="D54" s="406"/>
      <c r="E54" s="406"/>
      <c r="F54" s="406"/>
      <c r="G54" s="406"/>
      <c r="H54" s="406"/>
      <c r="I54" s="406"/>
      <c r="J54" s="406"/>
      <c r="K54" s="406"/>
      <c r="L54" s="406"/>
      <c r="M54" s="406"/>
      <c r="N54" s="468"/>
      <c r="O54" s="406"/>
      <c r="P54" s="402"/>
    </row>
    <row r="55" spans="1:16" s="569" customFormat="1" ht="46.8" x14ac:dyDescent="0.3">
      <c r="A55" s="572"/>
      <c r="B55" s="573" t="s">
        <v>16</v>
      </c>
      <c r="C55" s="574"/>
      <c r="D55" s="574" t="s">
        <v>91</v>
      </c>
      <c r="E55" s="574"/>
      <c r="F55" s="574" t="s">
        <v>93</v>
      </c>
      <c r="G55" s="574"/>
      <c r="H55" s="574" t="s">
        <v>95</v>
      </c>
      <c r="I55" s="574"/>
      <c r="J55" s="574" t="s">
        <v>97</v>
      </c>
      <c r="K55" s="574"/>
      <c r="L55" s="574" t="s">
        <v>104</v>
      </c>
      <c r="M55" s="574"/>
      <c r="N55" s="575" t="s">
        <v>112</v>
      </c>
      <c r="O55" s="576"/>
      <c r="P55" s="568"/>
    </row>
    <row r="56" spans="1:16" s="419" customFormat="1" x14ac:dyDescent="0.3">
      <c r="A56" s="427"/>
      <c r="B56" s="428" t="s">
        <v>17</v>
      </c>
      <c r="C56" s="469"/>
      <c r="D56" s="469">
        <v>268565</v>
      </c>
      <c r="E56" s="469"/>
      <c r="F56" s="470">
        <v>10860</v>
      </c>
      <c r="G56" s="469"/>
      <c r="H56" s="469">
        <v>808</v>
      </c>
      <c r="I56" s="469"/>
      <c r="J56" s="469">
        <v>0</v>
      </c>
      <c r="K56" s="469"/>
      <c r="L56" s="469">
        <v>0</v>
      </c>
      <c r="M56" s="469"/>
      <c r="N56" s="470">
        <f>+F56-H56+J56-L56</f>
        <v>10052</v>
      </c>
      <c r="O56" s="430"/>
      <c r="P56" s="418"/>
    </row>
    <row r="57" spans="1:16" s="419" customFormat="1" x14ac:dyDescent="0.3">
      <c r="A57" s="427"/>
      <c r="B57" s="428" t="s">
        <v>209</v>
      </c>
      <c r="C57" s="469"/>
      <c r="D57" s="469">
        <v>756</v>
      </c>
      <c r="E57" s="469"/>
      <c r="F57" s="470">
        <v>37</v>
      </c>
      <c r="G57" s="469"/>
      <c r="H57" s="469">
        <v>1</v>
      </c>
      <c r="I57" s="469"/>
      <c r="J57" s="469">
        <v>0</v>
      </c>
      <c r="K57" s="469"/>
      <c r="L57" s="469">
        <v>0</v>
      </c>
      <c r="M57" s="469"/>
      <c r="N57" s="470">
        <f>+F57-H57</f>
        <v>36</v>
      </c>
      <c r="O57" s="430"/>
      <c r="P57" s="418"/>
    </row>
    <row r="58" spans="1:16" s="419" customFormat="1" x14ac:dyDescent="0.3">
      <c r="A58" s="427"/>
      <c r="B58" s="428"/>
      <c r="C58" s="469"/>
      <c r="D58" s="469"/>
      <c r="E58" s="469"/>
      <c r="F58" s="470"/>
      <c r="G58" s="469"/>
      <c r="H58" s="469"/>
      <c r="I58" s="469"/>
      <c r="J58" s="469"/>
      <c r="K58" s="469"/>
      <c r="L58" s="469"/>
      <c r="M58" s="469"/>
      <c r="N58" s="470"/>
      <c r="O58" s="430"/>
      <c r="P58" s="418"/>
    </row>
    <row r="59" spans="1:16" s="419" customFormat="1" x14ac:dyDescent="0.3">
      <c r="A59" s="427"/>
      <c r="B59" s="428" t="s">
        <v>19</v>
      </c>
      <c r="C59" s="469"/>
      <c r="D59" s="469">
        <f>SUM(D56:D58)</f>
        <v>269321</v>
      </c>
      <c r="E59" s="469"/>
      <c r="F59" s="469">
        <f>F56+F57</f>
        <v>10897</v>
      </c>
      <c r="G59" s="469"/>
      <c r="H59" s="469">
        <f>SUM(H56:H58)</f>
        <v>809</v>
      </c>
      <c r="I59" s="469"/>
      <c r="J59" s="469">
        <f>SUM(J56:J58)</f>
        <v>0</v>
      </c>
      <c r="K59" s="469"/>
      <c r="L59" s="469">
        <f>SUM(L56:L58)</f>
        <v>0</v>
      </c>
      <c r="M59" s="469"/>
      <c r="N59" s="469">
        <f>SUM(N56:N58)</f>
        <v>10088</v>
      </c>
      <c r="O59" s="430"/>
      <c r="P59" s="418"/>
    </row>
    <row r="60" spans="1:16" x14ac:dyDescent="0.3">
      <c r="A60" s="404"/>
      <c r="B60" s="471"/>
      <c r="C60" s="472"/>
      <c r="D60" s="472"/>
      <c r="E60" s="472"/>
      <c r="F60" s="472"/>
      <c r="G60" s="472"/>
      <c r="H60" s="472"/>
      <c r="I60" s="472"/>
      <c r="J60" s="472"/>
      <c r="K60" s="472"/>
      <c r="L60" s="472"/>
      <c r="M60" s="472"/>
      <c r="N60" s="473"/>
      <c r="O60" s="471"/>
      <c r="P60" s="402"/>
    </row>
    <row r="61" spans="1:16" x14ac:dyDescent="0.3">
      <c r="A61" s="404"/>
      <c r="B61" s="408" t="s">
        <v>20</v>
      </c>
      <c r="C61" s="474"/>
      <c r="D61" s="474"/>
      <c r="E61" s="474"/>
      <c r="F61" s="474"/>
      <c r="G61" s="474"/>
      <c r="H61" s="474"/>
      <c r="I61" s="474"/>
      <c r="J61" s="474"/>
      <c r="K61" s="474"/>
      <c r="L61" s="474"/>
      <c r="M61" s="474"/>
      <c r="N61" s="475"/>
      <c r="O61" s="406"/>
      <c r="P61" s="402"/>
    </row>
    <row r="62" spans="1:16" x14ac:dyDescent="0.3">
      <c r="A62" s="404"/>
      <c r="B62" s="406"/>
      <c r="C62" s="474"/>
      <c r="D62" s="474"/>
      <c r="E62" s="474"/>
      <c r="F62" s="474"/>
      <c r="G62" s="474"/>
      <c r="H62" s="474"/>
      <c r="I62" s="474"/>
      <c r="J62" s="474"/>
      <c r="K62" s="474"/>
      <c r="L62" s="474"/>
      <c r="M62" s="474"/>
      <c r="N62" s="475"/>
      <c r="O62" s="406"/>
      <c r="P62" s="402"/>
    </row>
    <row r="63" spans="1:16" s="419" customFormat="1" x14ac:dyDescent="0.3">
      <c r="A63" s="427"/>
      <c r="B63" s="428" t="s">
        <v>17</v>
      </c>
      <c r="C63" s="469"/>
      <c r="D63" s="469"/>
      <c r="E63" s="469"/>
      <c r="F63" s="469"/>
      <c r="G63" s="469"/>
      <c r="H63" s="469"/>
      <c r="I63" s="469"/>
      <c r="J63" s="469"/>
      <c r="K63" s="469"/>
      <c r="L63" s="469"/>
      <c r="M63" s="469"/>
      <c r="N63" s="469"/>
      <c r="O63" s="430"/>
      <c r="P63" s="418"/>
    </row>
    <row r="64" spans="1:16" s="419" customFormat="1" x14ac:dyDescent="0.3">
      <c r="A64" s="427"/>
      <c r="B64" s="428" t="s">
        <v>18</v>
      </c>
      <c r="C64" s="469"/>
      <c r="D64" s="469"/>
      <c r="E64" s="469"/>
      <c r="F64" s="469"/>
      <c r="G64" s="469"/>
      <c r="H64" s="469"/>
      <c r="I64" s="469"/>
      <c r="J64" s="469"/>
      <c r="K64" s="469"/>
      <c r="L64" s="469"/>
      <c r="M64" s="469"/>
      <c r="N64" s="469"/>
      <c r="O64" s="430"/>
      <c r="P64" s="418"/>
    </row>
    <row r="65" spans="1:16" s="419" customFormat="1" x14ac:dyDescent="0.3">
      <c r="A65" s="427"/>
      <c r="B65" s="428"/>
      <c r="C65" s="469"/>
      <c r="D65" s="469"/>
      <c r="E65" s="469"/>
      <c r="F65" s="469"/>
      <c r="G65" s="469"/>
      <c r="H65" s="469"/>
      <c r="I65" s="469"/>
      <c r="J65" s="469"/>
      <c r="K65" s="469"/>
      <c r="L65" s="469"/>
      <c r="M65" s="469"/>
      <c r="N65" s="469"/>
      <c r="O65" s="430"/>
      <c r="P65" s="418"/>
    </row>
    <row r="66" spans="1:16" s="419" customFormat="1" x14ac:dyDescent="0.3">
      <c r="A66" s="427"/>
      <c r="B66" s="428" t="s">
        <v>19</v>
      </c>
      <c r="C66" s="469"/>
      <c r="D66" s="469"/>
      <c r="E66" s="469"/>
      <c r="F66" s="469"/>
      <c r="G66" s="469"/>
      <c r="H66" s="469"/>
      <c r="I66" s="469"/>
      <c r="J66" s="469"/>
      <c r="K66" s="469"/>
      <c r="L66" s="469"/>
      <c r="M66" s="469"/>
      <c r="N66" s="469"/>
      <c r="O66" s="430"/>
      <c r="P66" s="418"/>
    </row>
    <row r="67" spans="1:16" s="419" customFormat="1" x14ac:dyDescent="0.3">
      <c r="A67" s="427"/>
      <c r="B67" s="428"/>
      <c r="C67" s="469"/>
      <c r="D67" s="469"/>
      <c r="E67" s="469"/>
      <c r="F67" s="469"/>
      <c r="G67" s="469"/>
      <c r="H67" s="469"/>
      <c r="I67" s="469"/>
      <c r="J67" s="469"/>
      <c r="K67" s="469"/>
      <c r="L67" s="469"/>
      <c r="M67" s="469"/>
      <c r="N67" s="469"/>
      <c r="O67" s="430"/>
      <c r="P67" s="418"/>
    </row>
    <row r="68" spans="1:16" s="419" customFormat="1" x14ac:dyDescent="0.3">
      <c r="A68" s="427"/>
      <c r="B68" s="428" t="s">
        <v>209</v>
      </c>
      <c r="C68" s="469"/>
      <c r="D68" s="469">
        <v>-756</v>
      </c>
      <c r="E68" s="469"/>
      <c r="F68" s="469">
        <v>-37</v>
      </c>
      <c r="G68" s="469"/>
      <c r="H68" s="469"/>
      <c r="I68" s="469"/>
      <c r="J68" s="469"/>
      <c r="K68" s="469"/>
      <c r="L68" s="469"/>
      <c r="M68" s="469"/>
      <c r="N68" s="470">
        <f>-N57</f>
        <v>-36</v>
      </c>
      <c r="O68" s="430"/>
      <c r="P68" s="418"/>
    </row>
    <row r="69" spans="1:16" s="419" customFormat="1" x14ac:dyDescent="0.3">
      <c r="A69" s="427"/>
      <c r="B69" s="428" t="s">
        <v>21</v>
      </c>
      <c r="C69" s="469"/>
      <c r="D69" s="469">
        <v>0</v>
      </c>
      <c r="E69" s="469"/>
      <c r="F69" s="469">
        <v>0</v>
      </c>
      <c r="G69" s="469"/>
      <c r="H69" s="469"/>
      <c r="I69" s="469"/>
      <c r="J69" s="469"/>
      <c r="K69" s="469"/>
      <c r="L69" s="469"/>
      <c r="M69" s="469"/>
      <c r="N69" s="469">
        <f>SUM(D69:J69)</f>
        <v>0</v>
      </c>
      <c r="O69" s="430"/>
      <c r="P69" s="418"/>
    </row>
    <row r="70" spans="1:16" s="419" customFormat="1" x14ac:dyDescent="0.3">
      <c r="A70" s="427"/>
      <c r="B70" s="428" t="s">
        <v>210</v>
      </c>
      <c r="C70" s="469"/>
      <c r="D70" s="469">
        <v>35</v>
      </c>
      <c r="E70" s="469"/>
      <c r="F70" s="469">
        <v>0</v>
      </c>
      <c r="G70" s="469"/>
      <c r="H70" s="469">
        <v>0</v>
      </c>
      <c r="I70" s="469"/>
      <c r="J70" s="469"/>
      <c r="K70" s="469"/>
      <c r="L70" s="469"/>
      <c r="M70" s="469"/>
      <c r="N70" s="469">
        <f>+F70+H70</f>
        <v>0</v>
      </c>
      <c r="O70" s="430"/>
      <c r="P70" s="418"/>
    </row>
    <row r="71" spans="1:16" s="419" customFormat="1" x14ac:dyDescent="0.3">
      <c r="A71" s="427"/>
      <c r="B71" s="428" t="s">
        <v>23</v>
      </c>
      <c r="C71" s="469"/>
      <c r="D71" s="469">
        <v>0</v>
      </c>
      <c r="E71" s="469"/>
      <c r="F71" s="469">
        <v>0</v>
      </c>
      <c r="G71" s="469"/>
      <c r="H71" s="469"/>
      <c r="I71" s="469"/>
      <c r="J71" s="469"/>
      <c r="K71" s="469"/>
      <c r="L71" s="469"/>
      <c r="M71" s="469"/>
      <c r="N71" s="469">
        <v>0</v>
      </c>
      <c r="O71" s="430"/>
      <c r="P71" s="418"/>
    </row>
    <row r="72" spans="1:16" s="419" customFormat="1" x14ac:dyDescent="0.3">
      <c r="A72" s="427"/>
      <c r="B72" s="428" t="s">
        <v>24</v>
      </c>
      <c r="C72" s="469"/>
      <c r="D72" s="469">
        <f>SUM(D59:D71)</f>
        <v>268600</v>
      </c>
      <c r="E72" s="469"/>
      <c r="F72" s="469">
        <f>SUM(F59:F71)</f>
        <v>10860</v>
      </c>
      <c r="G72" s="469"/>
      <c r="H72" s="469"/>
      <c r="I72" s="469"/>
      <c r="J72" s="469"/>
      <c r="K72" s="469"/>
      <c r="L72" s="469"/>
      <c r="M72" s="469"/>
      <c r="N72" s="469">
        <f>SUM(N59:N71)</f>
        <v>10052</v>
      </c>
      <c r="O72" s="430"/>
      <c r="P72" s="418"/>
    </row>
    <row r="73" spans="1:16" x14ac:dyDescent="0.3">
      <c r="A73" s="404"/>
      <c r="B73" s="476"/>
      <c r="C73" s="477"/>
      <c r="D73" s="477"/>
      <c r="E73" s="477"/>
      <c r="F73" s="477"/>
      <c r="G73" s="477"/>
      <c r="H73" s="477"/>
      <c r="I73" s="477"/>
      <c r="J73" s="477"/>
      <c r="K73" s="477"/>
      <c r="L73" s="477"/>
      <c r="M73" s="477"/>
      <c r="N73" s="477"/>
      <c r="O73" s="476"/>
      <c r="P73" s="402"/>
    </row>
    <row r="74" spans="1:16" x14ac:dyDescent="0.3">
      <c r="A74" s="404"/>
      <c r="B74" s="478"/>
      <c r="C74" s="478"/>
      <c r="D74" s="478"/>
      <c r="E74" s="478"/>
      <c r="F74" s="478"/>
      <c r="G74" s="478"/>
      <c r="H74" s="478"/>
      <c r="I74" s="478"/>
      <c r="J74" s="478"/>
      <c r="K74" s="478"/>
      <c r="L74" s="478"/>
      <c r="M74" s="478"/>
      <c r="N74" s="478"/>
      <c r="O74" s="478"/>
      <c r="P74" s="402"/>
    </row>
    <row r="75" spans="1:16" x14ac:dyDescent="0.3">
      <c r="A75" s="585"/>
      <c r="B75" s="599" t="s">
        <v>25</v>
      </c>
      <c r="C75" s="599"/>
      <c r="D75" s="600" t="s">
        <v>92</v>
      </c>
      <c r="E75" s="601"/>
      <c r="F75" s="602">
        <f>+L183</f>
        <v>43524</v>
      </c>
      <c r="G75" s="601"/>
      <c r="H75" s="601"/>
      <c r="I75" s="601"/>
      <c r="J75" s="601"/>
      <c r="K75" s="601"/>
      <c r="L75" s="601" t="s">
        <v>105</v>
      </c>
      <c r="M75" s="601"/>
      <c r="N75" s="601" t="s">
        <v>113</v>
      </c>
      <c r="O75" s="594"/>
      <c r="P75" s="402"/>
    </row>
    <row r="76" spans="1:16" s="419" customFormat="1" x14ac:dyDescent="0.3">
      <c r="A76" s="587"/>
      <c r="B76" s="588" t="s">
        <v>26</v>
      </c>
      <c r="C76" s="588"/>
      <c r="D76" s="588"/>
      <c r="E76" s="588"/>
      <c r="F76" s="588"/>
      <c r="G76" s="588"/>
      <c r="H76" s="588"/>
      <c r="I76" s="588"/>
      <c r="J76" s="588"/>
      <c r="K76" s="588"/>
      <c r="L76" s="597">
        <v>0</v>
      </c>
      <c r="M76" s="588"/>
      <c r="N76" s="598">
        <v>0</v>
      </c>
      <c r="O76" s="590"/>
      <c r="P76" s="418"/>
    </row>
    <row r="77" spans="1:16" s="419" customFormat="1" x14ac:dyDescent="0.3">
      <c r="A77" s="427"/>
      <c r="B77" s="428" t="s">
        <v>27</v>
      </c>
      <c r="C77" s="428"/>
      <c r="D77" s="449"/>
      <c r="E77" s="428"/>
      <c r="F77" s="479"/>
      <c r="G77" s="428"/>
      <c r="H77" s="428"/>
      <c r="I77" s="428"/>
      <c r="J77" s="428"/>
      <c r="K77" s="428"/>
      <c r="L77" s="469">
        <v>808</v>
      </c>
      <c r="M77" s="428"/>
      <c r="N77" s="470"/>
      <c r="O77" s="430"/>
      <c r="P77" s="418"/>
    </row>
    <row r="78" spans="1:16" s="419" customFormat="1" x14ac:dyDescent="0.3">
      <c r="A78" s="427"/>
      <c r="B78" s="428" t="s">
        <v>176</v>
      </c>
      <c r="C78" s="428"/>
      <c r="D78" s="449"/>
      <c r="E78" s="428"/>
      <c r="F78" s="479"/>
      <c r="G78" s="428"/>
      <c r="H78" s="428"/>
      <c r="I78" s="428"/>
      <c r="J78" s="428"/>
      <c r="K78" s="428"/>
      <c r="L78" s="469"/>
      <c r="M78" s="428"/>
      <c r="N78" s="470">
        <f>323+130+47-242-111-33</f>
        <v>114</v>
      </c>
      <c r="O78" s="430"/>
      <c r="P78" s="418"/>
    </row>
    <row r="79" spans="1:16" s="419" customFormat="1" x14ac:dyDescent="0.3">
      <c r="A79" s="427"/>
      <c r="B79" s="428" t="s">
        <v>174</v>
      </c>
      <c r="C79" s="428"/>
      <c r="D79" s="449"/>
      <c r="E79" s="428"/>
      <c r="F79" s="479"/>
      <c r="G79" s="428"/>
      <c r="H79" s="428"/>
      <c r="I79" s="428"/>
      <c r="J79" s="428"/>
      <c r="K79" s="428"/>
      <c r="L79" s="469"/>
      <c r="M79" s="428"/>
      <c r="N79" s="470">
        <f>39+11</f>
        <v>50</v>
      </c>
      <c r="O79" s="430"/>
      <c r="P79" s="418"/>
    </row>
    <row r="80" spans="1:16" s="419" customFormat="1" x14ac:dyDescent="0.3">
      <c r="A80" s="427"/>
      <c r="B80" s="428" t="s">
        <v>175</v>
      </c>
      <c r="C80" s="428"/>
      <c r="D80" s="449"/>
      <c r="E80" s="428"/>
      <c r="F80" s="479"/>
      <c r="G80" s="428"/>
      <c r="H80" s="428"/>
      <c r="I80" s="428"/>
      <c r="J80" s="428"/>
      <c r="K80" s="428"/>
      <c r="L80" s="469"/>
      <c r="M80" s="428"/>
      <c r="N80" s="470">
        <v>3</v>
      </c>
      <c r="O80" s="430"/>
      <c r="P80" s="418"/>
    </row>
    <row r="81" spans="1:17" s="419" customFormat="1" x14ac:dyDescent="0.3">
      <c r="A81" s="427"/>
      <c r="B81" s="428" t="s">
        <v>131</v>
      </c>
      <c r="C81" s="428"/>
      <c r="D81" s="428"/>
      <c r="E81" s="428"/>
      <c r="F81" s="428"/>
      <c r="G81" s="428"/>
      <c r="H81" s="428"/>
      <c r="I81" s="428"/>
      <c r="J81" s="428"/>
      <c r="K81" s="428"/>
      <c r="L81" s="469"/>
      <c r="M81" s="428"/>
      <c r="N81" s="470">
        <v>0</v>
      </c>
      <c r="O81" s="430"/>
      <c r="P81" s="418"/>
    </row>
    <row r="82" spans="1:17" s="419" customFormat="1" x14ac:dyDescent="0.3">
      <c r="A82" s="427"/>
      <c r="B82" s="428" t="s">
        <v>211</v>
      </c>
      <c r="C82" s="428"/>
      <c r="D82" s="428"/>
      <c r="E82" s="428"/>
      <c r="F82" s="428"/>
      <c r="G82" s="428"/>
      <c r="H82" s="428"/>
      <c r="I82" s="428"/>
      <c r="J82" s="428"/>
      <c r="K82" s="428"/>
      <c r="L82" s="469"/>
      <c r="M82" s="428"/>
      <c r="N82" s="470">
        <v>0</v>
      </c>
      <c r="O82" s="430"/>
      <c r="P82" s="418"/>
    </row>
    <row r="83" spans="1:17" s="419" customFormat="1" x14ac:dyDescent="0.3">
      <c r="A83" s="427"/>
      <c r="B83" s="428" t="s">
        <v>28</v>
      </c>
      <c r="C83" s="428"/>
      <c r="D83" s="428"/>
      <c r="E83" s="428"/>
      <c r="F83" s="428"/>
      <c r="G83" s="428"/>
      <c r="H83" s="428"/>
      <c r="I83" s="428"/>
      <c r="J83" s="428"/>
      <c r="K83" s="428"/>
      <c r="L83" s="469">
        <f>SUM(L76:L82)</f>
        <v>808</v>
      </c>
      <c r="M83" s="428"/>
      <c r="N83" s="469">
        <f>SUM(N76:N82)</f>
        <v>167</v>
      </c>
      <c r="O83" s="430"/>
      <c r="P83" s="418"/>
    </row>
    <row r="84" spans="1:17" s="419" customFormat="1" x14ac:dyDescent="0.3">
      <c r="A84" s="427"/>
      <c r="B84" s="428" t="s">
        <v>148</v>
      </c>
      <c r="C84" s="428"/>
      <c r="D84" s="428"/>
      <c r="E84" s="428"/>
      <c r="F84" s="428"/>
      <c r="G84" s="428"/>
      <c r="H84" s="428"/>
      <c r="I84" s="428"/>
      <c r="J84" s="428"/>
      <c r="K84" s="428"/>
      <c r="L84" s="469">
        <v>0</v>
      </c>
      <c r="M84" s="428"/>
      <c r="N84" s="469">
        <f>-L84</f>
        <v>0</v>
      </c>
      <c r="O84" s="430"/>
      <c r="P84" s="418"/>
    </row>
    <row r="85" spans="1:17" s="419" customFormat="1" x14ac:dyDescent="0.3">
      <c r="A85" s="427"/>
      <c r="B85" s="428" t="s">
        <v>29</v>
      </c>
      <c r="C85" s="428"/>
      <c r="D85" s="428"/>
      <c r="E85" s="428"/>
      <c r="F85" s="428"/>
      <c r="G85" s="428"/>
      <c r="H85" s="428"/>
      <c r="I85" s="428"/>
      <c r="J85" s="428"/>
      <c r="K85" s="428"/>
      <c r="L85" s="469">
        <f>-N85</f>
        <v>0</v>
      </c>
      <c r="M85" s="428"/>
      <c r="N85" s="470">
        <v>0</v>
      </c>
      <c r="O85" s="430"/>
      <c r="P85" s="418"/>
    </row>
    <row r="86" spans="1:17" s="419" customFormat="1" x14ac:dyDescent="0.3">
      <c r="A86" s="427"/>
      <c r="B86" s="428" t="s">
        <v>244</v>
      </c>
      <c r="C86" s="428"/>
      <c r="D86" s="428"/>
      <c r="E86" s="428"/>
      <c r="F86" s="428"/>
      <c r="G86" s="428"/>
      <c r="H86" s="428"/>
      <c r="I86" s="428"/>
      <c r="J86" s="428"/>
      <c r="K86" s="428"/>
      <c r="L86" s="469"/>
      <c r="M86" s="428"/>
      <c r="N86" s="470">
        <v>0</v>
      </c>
      <c r="O86" s="430"/>
      <c r="P86" s="418"/>
    </row>
    <row r="87" spans="1:17" s="419" customFormat="1" x14ac:dyDescent="0.3">
      <c r="A87" s="427"/>
      <c r="B87" s="428" t="s">
        <v>30</v>
      </c>
      <c r="C87" s="428"/>
      <c r="D87" s="428"/>
      <c r="E87" s="428"/>
      <c r="F87" s="428"/>
      <c r="G87" s="428"/>
      <c r="H87" s="428"/>
      <c r="I87" s="428"/>
      <c r="J87" s="428"/>
      <c r="K87" s="428"/>
      <c r="L87" s="469">
        <f>L83+L85+L84</f>
        <v>808</v>
      </c>
      <c r="M87" s="428"/>
      <c r="N87" s="469">
        <f>N83+N85+N84+N86</f>
        <v>167</v>
      </c>
      <c r="O87" s="430"/>
      <c r="P87" s="418"/>
    </row>
    <row r="88" spans="1:17" x14ac:dyDescent="0.3">
      <c r="A88" s="442"/>
      <c r="B88" s="577" t="s">
        <v>31</v>
      </c>
      <c r="C88" s="443"/>
      <c r="D88" s="443"/>
      <c r="E88" s="443"/>
      <c r="F88" s="443"/>
      <c r="G88" s="443"/>
      <c r="H88" s="443"/>
      <c r="I88" s="443"/>
      <c r="J88" s="443"/>
      <c r="K88" s="443"/>
      <c r="L88" s="480"/>
      <c r="M88" s="443"/>
      <c r="N88" s="481"/>
      <c r="O88" s="445"/>
      <c r="P88" s="402"/>
    </row>
    <row r="89" spans="1:17" s="419" customFormat="1" x14ac:dyDescent="0.3">
      <c r="A89" s="427">
        <v>1</v>
      </c>
      <c r="B89" s="428" t="s">
        <v>32</v>
      </c>
      <c r="C89" s="428"/>
      <c r="D89" s="428"/>
      <c r="E89" s="428"/>
      <c r="F89" s="428"/>
      <c r="G89" s="428"/>
      <c r="H89" s="428"/>
      <c r="I89" s="428"/>
      <c r="J89" s="428"/>
      <c r="K89" s="428"/>
      <c r="L89" s="428"/>
      <c r="M89" s="428"/>
      <c r="N89" s="470">
        <v>0</v>
      </c>
      <c r="O89" s="430"/>
      <c r="P89" s="418"/>
    </row>
    <row r="90" spans="1:17" s="419" customFormat="1" x14ac:dyDescent="0.3">
      <c r="A90" s="427">
        <f>+A89+1</f>
        <v>2</v>
      </c>
      <c r="B90" s="428" t="s">
        <v>224</v>
      </c>
      <c r="C90" s="428"/>
      <c r="D90" s="428"/>
      <c r="E90" s="428"/>
      <c r="F90" s="428"/>
      <c r="G90" s="428"/>
      <c r="H90" s="428"/>
      <c r="I90" s="428"/>
      <c r="J90" s="428"/>
      <c r="K90" s="428"/>
      <c r="L90" s="428"/>
      <c r="M90" s="428"/>
      <c r="N90" s="470">
        <v>-2</v>
      </c>
      <c r="O90" s="430"/>
      <c r="P90" s="418"/>
    </row>
    <row r="91" spans="1:17" s="419" customFormat="1" x14ac:dyDescent="0.3">
      <c r="A91" s="427">
        <f>+A90+1</f>
        <v>3</v>
      </c>
      <c r="B91" s="428" t="s">
        <v>235</v>
      </c>
      <c r="C91" s="428"/>
      <c r="D91" s="428"/>
      <c r="E91" s="428"/>
      <c r="F91" s="428"/>
      <c r="G91" s="428"/>
      <c r="H91" s="428"/>
      <c r="I91" s="428"/>
      <c r="J91" s="428"/>
      <c r="K91" s="428"/>
      <c r="L91" s="428"/>
      <c r="M91" s="428"/>
      <c r="N91" s="470">
        <f>-4-12</f>
        <v>-16</v>
      </c>
      <c r="O91" s="430"/>
      <c r="P91" s="418"/>
    </row>
    <row r="92" spans="1:17" s="419" customFormat="1" x14ac:dyDescent="0.3">
      <c r="A92" s="427" t="s">
        <v>123</v>
      </c>
      <c r="B92" s="428" t="s">
        <v>116</v>
      </c>
      <c r="C92" s="428"/>
      <c r="D92" s="428"/>
      <c r="E92" s="428"/>
      <c r="F92" s="428"/>
      <c r="G92" s="428"/>
      <c r="H92" s="428"/>
      <c r="I92" s="428"/>
      <c r="J92" s="428"/>
      <c r="K92" s="428"/>
      <c r="L92" s="428"/>
      <c r="M92" s="428"/>
      <c r="N92" s="470">
        <v>0</v>
      </c>
      <c r="O92" s="430"/>
      <c r="P92" s="418"/>
    </row>
    <row r="93" spans="1:17" s="419" customFormat="1" x14ac:dyDescent="0.3">
      <c r="A93" s="427" t="s">
        <v>124</v>
      </c>
      <c r="B93" s="428" t="s">
        <v>214</v>
      </c>
      <c r="C93" s="428"/>
      <c r="D93" s="428"/>
      <c r="E93" s="428"/>
      <c r="F93" s="428"/>
      <c r="G93" s="428"/>
      <c r="H93" s="428"/>
      <c r="I93" s="428"/>
      <c r="J93" s="428"/>
      <c r="K93" s="428"/>
      <c r="L93" s="428"/>
      <c r="M93" s="428"/>
      <c r="N93" s="470">
        <v>-21</v>
      </c>
      <c r="O93" s="430"/>
      <c r="P93" s="418"/>
    </row>
    <row r="94" spans="1:17" s="419" customFormat="1" x14ac:dyDescent="0.3">
      <c r="A94" s="427" t="s">
        <v>140</v>
      </c>
      <c r="B94" s="428" t="s">
        <v>180</v>
      </c>
      <c r="C94" s="428"/>
      <c r="D94" s="428"/>
      <c r="E94" s="428"/>
      <c r="F94" s="428"/>
      <c r="G94" s="428"/>
      <c r="H94" s="428"/>
      <c r="I94" s="428"/>
      <c r="J94" s="428"/>
      <c r="K94" s="428"/>
      <c r="L94" s="428"/>
      <c r="M94" s="428"/>
      <c r="N94" s="470">
        <v>0</v>
      </c>
      <c r="O94" s="430"/>
      <c r="P94" s="418"/>
    </row>
    <row r="95" spans="1:17" s="419" customFormat="1" x14ac:dyDescent="0.3">
      <c r="A95" s="427" t="s">
        <v>169</v>
      </c>
      <c r="B95" s="428" t="s">
        <v>215</v>
      </c>
      <c r="C95" s="428"/>
      <c r="D95" s="428"/>
      <c r="E95" s="428"/>
      <c r="F95" s="428"/>
      <c r="G95" s="428"/>
      <c r="H95" s="428"/>
      <c r="I95" s="428"/>
      <c r="J95" s="428"/>
      <c r="K95" s="428"/>
      <c r="L95" s="428"/>
      <c r="M95" s="428"/>
      <c r="N95" s="470">
        <v>-5</v>
      </c>
      <c r="O95" s="430"/>
      <c r="P95" s="418"/>
      <c r="Q95" s="482"/>
    </row>
    <row r="96" spans="1:17" s="419" customFormat="1" x14ac:dyDescent="0.3">
      <c r="A96" s="427" t="s">
        <v>170</v>
      </c>
      <c r="B96" s="428" t="s">
        <v>216</v>
      </c>
      <c r="C96" s="428"/>
      <c r="D96" s="428"/>
      <c r="E96" s="428"/>
      <c r="F96" s="428"/>
      <c r="G96" s="428"/>
      <c r="H96" s="428"/>
      <c r="I96" s="428"/>
      <c r="J96" s="428"/>
      <c r="K96" s="428"/>
      <c r="L96" s="428"/>
      <c r="M96" s="428"/>
      <c r="N96" s="470">
        <v>-6</v>
      </c>
      <c r="O96" s="430"/>
      <c r="P96" s="418"/>
      <c r="Q96" s="482"/>
    </row>
    <row r="97" spans="1:16" s="419" customFormat="1" x14ac:dyDescent="0.3">
      <c r="A97" s="427">
        <v>7</v>
      </c>
      <c r="B97" s="428" t="s">
        <v>33</v>
      </c>
      <c r="C97" s="428"/>
      <c r="D97" s="428"/>
      <c r="E97" s="428"/>
      <c r="F97" s="428"/>
      <c r="G97" s="428"/>
      <c r="H97" s="428"/>
      <c r="I97" s="428"/>
      <c r="J97" s="428"/>
      <c r="K97" s="428"/>
      <c r="L97" s="428"/>
      <c r="M97" s="428"/>
      <c r="N97" s="470">
        <v>-7</v>
      </c>
      <c r="O97" s="430"/>
      <c r="P97" s="418"/>
    </row>
    <row r="98" spans="1:16" s="419" customFormat="1" x14ac:dyDescent="0.3">
      <c r="A98" s="427">
        <f t="shared" ref="A98:A104" si="0">+A97+1</f>
        <v>8</v>
      </c>
      <c r="B98" s="428" t="s">
        <v>42</v>
      </c>
      <c r="C98" s="428"/>
      <c r="D98" s="428"/>
      <c r="E98" s="428"/>
      <c r="F98" s="428"/>
      <c r="G98" s="428"/>
      <c r="H98" s="428"/>
      <c r="I98" s="428"/>
      <c r="J98" s="428"/>
      <c r="K98" s="428"/>
      <c r="L98" s="469">
        <f>-N98</f>
        <v>0</v>
      </c>
      <c r="M98" s="428"/>
      <c r="N98" s="470">
        <v>0</v>
      </c>
      <c r="O98" s="430"/>
      <c r="P98" s="418"/>
    </row>
    <row r="99" spans="1:16" s="419" customFormat="1" x14ac:dyDescent="0.3">
      <c r="A99" s="427">
        <f t="shared" si="0"/>
        <v>9</v>
      </c>
      <c r="B99" s="428" t="s">
        <v>121</v>
      </c>
      <c r="C99" s="428"/>
      <c r="D99" s="428"/>
      <c r="E99" s="428"/>
      <c r="F99" s="428"/>
      <c r="G99" s="428"/>
      <c r="H99" s="428"/>
      <c r="I99" s="428"/>
      <c r="J99" s="428"/>
      <c r="K99" s="428"/>
      <c r="L99" s="428"/>
      <c r="M99" s="428"/>
      <c r="N99" s="470">
        <v>0</v>
      </c>
      <c r="O99" s="430"/>
      <c r="P99" s="418"/>
    </row>
    <row r="100" spans="1:16" s="419" customFormat="1" x14ac:dyDescent="0.3">
      <c r="A100" s="427">
        <f t="shared" si="0"/>
        <v>10</v>
      </c>
      <c r="B100" s="428" t="s">
        <v>182</v>
      </c>
      <c r="C100" s="428"/>
      <c r="D100" s="428"/>
      <c r="E100" s="428"/>
      <c r="F100" s="428"/>
      <c r="G100" s="428"/>
      <c r="H100" s="428"/>
      <c r="I100" s="428"/>
      <c r="J100" s="428"/>
      <c r="K100" s="428"/>
      <c r="L100" s="428"/>
      <c r="M100" s="428"/>
      <c r="N100" s="470">
        <v>0</v>
      </c>
      <c r="O100" s="430"/>
      <c r="P100" s="418"/>
    </row>
    <row r="101" spans="1:16" s="419" customFormat="1" x14ac:dyDescent="0.3">
      <c r="A101" s="427">
        <f t="shared" si="0"/>
        <v>11</v>
      </c>
      <c r="B101" s="428" t="s">
        <v>34</v>
      </c>
      <c r="C101" s="428"/>
      <c r="D101" s="428"/>
      <c r="E101" s="428"/>
      <c r="F101" s="428"/>
      <c r="G101" s="428"/>
      <c r="H101" s="428"/>
      <c r="I101" s="428"/>
      <c r="J101" s="428"/>
      <c r="K101" s="428"/>
      <c r="L101" s="428"/>
      <c r="M101" s="428"/>
      <c r="N101" s="470">
        <v>0</v>
      </c>
      <c r="O101" s="430"/>
      <c r="P101" s="418"/>
    </row>
    <row r="102" spans="1:16" s="419" customFormat="1" x14ac:dyDescent="0.3">
      <c r="A102" s="427">
        <f t="shared" si="0"/>
        <v>12</v>
      </c>
      <c r="B102" s="428" t="s">
        <v>181</v>
      </c>
      <c r="C102" s="428"/>
      <c r="D102" s="428"/>
      <c r="E102" s="428"/>
      <c r="F102" s="428"/>
      <c r="G102" s="428"/>
      <c r="H102" s="428"/>
      <c r="I102" s="428"/>
      <c r="J102" s="428"/>
      <c r="K102" s="428"/>
      <c r="L102" s="428"/>
      <c r="M102" s="428"/>
      <c r="N102" s="470">
        <v>0</v>
      </c>
      <c r="O102" s="430"/>
      <c r="P102" s="418"/>
    </row>
    <row r="103" spans="1:16" s="419" customFormat="1" x14ac:dyDescent="0.3">
      <c r="A103" s="427">
        <f t="shared" si="0"/>
        <v>13</v>
      </c>
      <c r="B103" s="428" t="s">
        <v>139</v>
      </c>
      <c r="C103" s="428"/>
      <c r="D103" s="428"/>
      <c r="E103" s="428"/>
      <c r="F103" s="428"/>
      <c r="G103" s="428"/>
      <c r="H103" s="428"/>
      <c r="I103" s="428"/>
      <c r="J103" s="428"/>
      <c r="K103" s="428"/>
      <c r="L103" s="428"/>
      <c r="M103" s="428"/>
      <c r="N103" s="470">
        <v>-4</v>
      </c>
      <c r="O103" s="430"/>
      <c r="P103" s="418"/>
    </row>
    <row r="104" spans="1:16" s="419" customFormat="1" x14ac:dyDescent="0.3">
      <c r="A104" s="427">
        <f t="shared" si="0"/>
        <v>14</v>
      </c>
      <c r="B104" s="428" t="s">
        <v>122</v>
      </c>
      <c r="C104" s="428"/>
      <c r="D104" s="428"/>
      <c r="E104" s="428"/>
      <c r="F104" s="428"/>
      <c r="G104" s="428"/>
      <c r="H104" s="428"/>
      <c r="I104" s="428"/>
      <c r="J104" s="428"/>
      <c r="K104" s="428"/>
      <c r="L104" s="428"/>
      <c r="M104" s="428"/>
      <c r="N104" s="470">
        <f>-N87-SUM(N89:N103)</f>
        <v>-106</v>
      </c>
      <c r="O104" s="430"/>
      <c r="P104" s="418"/>
    </row>
    <row r="105" spans="1:16" x14ac:dyDescent="0.3">
      <c r="A105" s="442"/>
      <c r="B105" s="577" t="s">
        <v>35</v>
      </c>
      <c r="C105" s="443"/>
      <c r="D105" s="443"/>
      <c r="E105" s="443"/>
      <c r="F105" s="443"/>
      <c r="G105" s="443"/>
      <c r="H105" s="443"/>
      <c r="I105" s="443"/>
      <c r="J105" s="443"/>
      <c r="K105" s="443"/>
      <c r="L105" s="443"/>
      <c r="M105" s="443"/>
      <c r="N105" s="483"/>
      <c r="O105" s="445"/>
      <c r="P105" s="402"/>
    </row>
    <row r="106" spans="1:16" s="419" customFormat="1" x14ac:dyDescent="0.3">
      <c r="A106" s="427"/>
      <c r="B106" s="428" t="s">
        <v>160</v>
      </c>
      <c r="C106" s="428"/>
      <c r="D106" s="428"/>
      <c r="E106" s="428"/>
      <c r="F106" s="428"/>
      <c r="G106" s="428"/>
      <c r="H106" s="428"/>
      <c r="I106" s="428"/>
      <c r="J106" s="428"/>
      <c r="K106" s="428"/>
      <c r="L106" s="469">
        <v>0</v>
      </c>
      <c r="M106" s="469"/>
      <c r="N106" s="470"/>
      <c r="O106" s="430"/>
      <c r="P106" s="418"/>
    </row>
    <row r="107" spans="1:16" s="419" customFormat="1" x14ac:dyDescent="0.3">
      <c r="A107" s="427"/>
      <c r="B107" s="428" t="s">
        <v>161</v>
      </c>
      <c r="C107" s="428"/>
      <c r="D107" s="428"/>
      <c r="E107" s="428"/>
      <c r="F107" s="428"/>
      <c r="G107" s="428"/>
      <c r="H107" s="428"/>
      <c r="I107" s="428"/>
      <c r="J107" s="428"/>
      <c r="K107" s="428"/>
      <c r="L107" s="469">
        <v>0</v>
      </c>
      <c r="M107" s="469"/>
      <c r="N107" s="470"/>
      <c r="O107" s="430"/>
      <c r="P107" s="418"/>
    </row>
    <row r="108" spans="1:16" s="419" customFormat="1" x14ac:dyDescent="0.3">
      <c r="A108" s="427"/>
      <c r="B108" s="428" t="s">
        <v>200</v>
      </c>
      <c r="C108" s="428"/>
      <c r="D108" s="428"/>
      <c r="E108" s="428"/>
      <c r="F108" s="428"/>
      <c r="G108" s="428"/>
      <c r="H108" s="428"/>
      <c r="I108" s="428"/>
      <c r="J108" s="428"/>
      <c r="K108" s="428"/>
      <c r="L108" s="469">
        <v>-808</v>
      </c>
      <c r="M108" s="469"/>
      <c r="N108" s="470"/>
      <c r="O108" s="430"/>
      <c r="P108" s="418"/>
    </row>
    <row r="109" spans="1:16" s="419" customFormat="1" x14ac:dyDescent="0.3">
      <c r="A109" s="427"/>
      <c r="B109" s="428" t="s">
        <v>201</v>
      </c>
      <c r="C109" s="428"/>
      <c r="D109" s="428"/>
      <c r="E109" s="428"/>
      <c r="F109" s="428"/>
      <c r="G109" s="428"/>
      <c r="H109" s="428"/>
      <c r="I109" s="428"/>
      <c r="J109" s="428"/>
      <c r="K109" s="428"/>
      <c r="L109" s="469">
        <v>0</v>
      </c>
      <c r="M109" s="469"/>
      <c r="N109" s="470"/>
      <c r="O109" s="430"/>
      <c r="P109" s="418"/>
    </row>
    <row r="110" spans="1:16" s="419" customFormat="1" x14ac:dyDescent="0.3">
      <c r="A110" s="427"/>
      <c r="B110" s="428" t="s">
        <v>202</v>
      </c>
      <c r="C110" s="428"/>
      <c r="D110" s="428"/>
      <c r="E110" s="428"/>
      <c r="F110" s="428"/>
      <c r="G110" s="428"/>
      <c r="H110" s="428"/>
      <c r="I110" s="428"/>
      <c r="J110" s="428"/>
      <c r="K110" s="428"/>
      <c r="L110" s="469">
        <v>0</v>
      </c>
      <c r="M110" s="469"/>
      <c r="N110" s="470"/>
      <c r="O110" s="430"/>
      <c r="P110" s="418"/>
    </row>
    <row r="111" spans="1:16" s="419" customFormat="1" x14ac:dyDescent="0.3">
      <c r="A111" s="427"/>
      <c r="B111" s="428" t="s">
        <v>36</v>
      </c>
      <c r="C111" s="428"/>
      <c r="D111" s="428"/>
      <c r="E111" s="428"/>
      <c r="F111" s="428"/>
      <c r="G111" s="428"/>
      <c r="H111" s="428"/>
      <c r="I111" s="428"/>
      <c r="J111" s="428"/>
      <c r="K111" s="428"/>
      <c r="L111" s="469">
        <f>SUM(L106:L110)</f>
        <v>-808</v>
      </c>
      <c r="M111" s="469"/>
      <c r="N111" s="469">
        <f>SUM(N88:N109)</f>
        <v>-167</v>
      </c>
      <c r="O111" s="430"/>
      <c r="P111" s="418"/>
    </row>
    <row r="112" spans="1:16" s="419" customFormat="1" x14ac:dyDescent="0.3">
      <c r="A112" s="427"/>
      <c r="B112" s="428" t="s">
        <v>37</v>
      </c>
      <c r="C112" s="428"/>
      <c r="D112" s="428"/>
      <c r="E112" s="428"/>
      <c r="F112" s="428"/>
      <c r="G112" s="428"/>
      <c r="H112" s="428"/>
      <c r="I112" s="428"/>
      <c r="J112" s="428"/>
      <c r="K112" s="428"/>
      <c r="L112" s="469">
        <f>L87+L111+L98</f>
        <v>0</v>
      </c>
      <c r="M112" s="469"/>
      <c r="N112" s="469">
        <f>N87+N111</f>
        <v>0</v>
      </c>
      <c r="O112" s="430"/>
      <c r="P112" s="418"/>
    </row>
    <row r="113" spans="1:17" s="419" customFormat="1" x14ac:dyDescent="0.3">
      <c r="A113" s="415"/>
      <c r="B113" s="458"/>
      <c r="C113" s="458"/>
      <c r="D113" s="458"/>
      <c r="E113" s="458"/>
      <c r="F113" s="458"/>
      <c r="G113" s="458"/>
      <c r="H113" s="458"/>
      <c r="I113" s="458"/>
      <c r="J113" s="458"/>
      <c r="K113" s="458"/>
      <c r="L113" s="484"/>
      <c r="M113" s="484"/>
      <c r="N113" s="484"/>
      <c r="O113" s="458"/>
      <c r="P113" s="418"/>
    </row>
    <row r="114" spans="1:17" s="419" customFormat="1" x14ac:dyDescent="0.3">
      <c r="A114" s="415"/>
      <c r="B114" s="416"/>
      <c r="C114" s="416"/>
      <c r="D114" s="416"/>
      <c r="E114" s="416"/>
      <c r="F114" s="416"/>
      <c r="G114" s="416"/>
      <c r="H114" s="416"/>
      <c r="I114" s="416"/>
      <c r="J114" s="416"/>
      <c r="K114" s="416"/>
      <c r="L114" s="416"/>
      <c r="M114" s="416"/>
      <c r="N114" s="485"/>
      <c r="O114" s="416"/>
      <c r="P114" s="418"/>
    </row>
    <row r="115" spans="1:17" s="419" customFormat="1" ht="18.600000000000001" thickBot="1" x14ac:dyDescent="0.4">
      <c r="A115" s="463"/>
      <c r="B115" s="464" t="str">
        <f>B52</f>
        <v>FF7 INVESTOR REPORT QUARTER ENDING FEBRUARY 2019</v>
      </c>
      <c r="C115" s="465"/>
      <c r="D115" s="465"/>
      <c r="E115" s="465"/>
      <c r="F115" s="465"/>
      <c r="G115" s="465"/>
      <c r="H115" s="465"/>
      <c r="I115" s="465"/>
      <c r="J115" s="465"/>
      <c r="K115" s="465"/>
      <c r="L115" s="465"/>
      <c r="M115" s="465"/>
      <c r="N115" s="486"/>
      <c r="O115" s="467"/>
      <c r="P115" s="418"/>
    </row>
    <row r="116" spans="1:17" x14ac:dyDescent="0.3">
      <c r="A116" s="603"/>
      <c r="B116" s="604" t="s">
        <v>38</v>
      </c>
      <c r="C116" s="605"/>
      <c r="D116" s="605"/>
      <c r="E116" s="605"/>
      <c r="F116" s="605"/>
      <c r="G116" s="605"/>
      <c r="H116" s="605"/>
      <c r="I116" s="605"/>
      <c r="J116" s="605"/>
      <c r="K116" s="605"/>
      <c r="L116" s="605"/>
      <c r="M116" s="605"/>
      <c r="N116" s="606"/>
      <c r="O116" s="605"/>
      <c r="P116" s="402"/>
    </row>
    <row r="117" spans="1:17" x14ac:dyDescent="0.3">
      <c r="A117" s="404"/>
      <c r="B117" s="487"/>
      <c r="C117" s="406"/>
      <c r="D117" s="406"/>
      <c r="E117" s="406"/>
      <c r="F117" s="406"/>
      <c r="G117" s="406"/>
      <c r="H117" s="406"/>
      <c r="I117" s="406"/>
      <c r="J117" s="406"/>
      <c r="K117" s="406"/>
      <c r="L117" s="406"/>
      <c r="M117" s="406"/>
      <c r="N117" s="468"/>
      <c r="O117" s="406"/>
      <c r="P117" s="402"/>
    </row>
    <row r="118" spans="1:17" x14ac:dyDescent="0.3">
      <c r="A118" s="404"/>
      <c r="B118" s="578" t="s">
        <v>39</v>
      </c>
      <c r="C118" s="406"/>
      <c r="D118" s="406"/>
      <c r="E118" s="406"/>
      <c r="F118" s="406"/>
      <c r="G118" s="406"/>
      <c r="H118" s="406"/>
      <c r="I118" s="406"/>
      <c r="J118" s="406"/>
      <c r="K118" s="406"/>
      <c r="L118" s="406"/>
      <c r="M118" s="406"/>
      <c r="N118" s="468"/>
      <c r="O118" s="406"/>
      <c r="P118" s="402"/>
    </row>
    <row r="119" spans="1:17" s="419" customFormat="1" x14ac:dyDescent="0.3">
      <c r="A119" s="427"/>
      <c r="B119" s="428" t="s">
        <v>40</v>
      </c>
      <c r="C119" s="428"/>
      <c r="D119" s="428"/>
      <c r="E119" s="428"/>
      <c r="F119" s="428"/>
      <c r="G119" s="428"/>
      <c r="H119" s="428"/>
      <c r="I119" s="428"/>
      <c r="J119" s="428"/>
      <c r="K119" s="428"/>
      <c r="L119" s="428"/>
      <c r="M119" s="428"/>
      <c r="N119" s="470">
        <f>N28*0.003</f>
        <v>805.80000000000007</v>
      </c>
      <c r="O119" s="430"/>
      <c r="P119" s="418"/>
    </row>
    <row r="120" spans="1:17" s="419" customFormat="1" x14ac:dyDescent="0.3">
      <c r="A120" s="427"/>
      <c r="B120" s="428" t="s">
        <v>41</v>
      </c>
      <c r="C120" s="428"/>
      <c r="D120" s="428"/>
      <c r="E120" s="428"/>
      <c r="F120" s="428"/>
      <c r="G120" s="428"/>
      <c r="H120" s="428"/>
      <c r="I120" s="428"/>
      <c r="J120" s="428"/>
      <c r="K120" s="428"/>
      <c r="L120" s="428"/>
      <c r="M120" s="428"/>
      <c r="N120" s="470">
        <v>806</v>
      </c>
      <c r="O120" s="430"/>
      <c r="P120" s="418"/>
    </row>
    <row r="121" spans="1:17" s="419" customFormat="1" x14ac:dyDescent="0.3">
      <c r="A121" s="427"/>
      <c r="B121" s="428" t="s">
        <v>132</v>
      </c>
      <c r="C121" s="428"/>
      <c r="D121" s="428"/>
      <c r="E121" s="428"/>
      <c r="F121" s="428"/>
      <c r="G121" s="428"/>
      <c r="H121" s="428"/>
      <c r="I121" s="428"/>
      <c r="J121" s="428"/>
      <c r="K121" s="428"/>
      <c r="L121" s="428"/>
      <c r="M121" s="428"/>
      <c r="N121" s="470">
        <v>0</v>
      </c>
      <c r="O121" s="430"/>
      <c r="P121" s="418"/>
    </row>
    <row r="122" spans="1:17" s="419" customFormat="1" x14ac:dyDescent="0.3">
      <c r="A122" s="427"/>
      <c r="B122" s="428" t="s">
        <v>221</v>
      </c>
      <c r="C122" s="428"/>
      <c r="D122" s="428"/>
      <c r="E122" s="428"/>
      <c r="F122" s="428"/>
      <c r="G122" s="428"/>
      <c r="H122" s="428"/>
      <c r="I122" s="428"/>
      <c r="J122" s="428"/>
      <c r="K122" s="428"/>
      <c r="L122" s="428"/>
      <c r="M122" s="428"/>
      <c r="N122" s="470">
        <v>0</v>
      </c>
      <c r="O122" s="430"/>
      <c r="P122" s="418"/>
    </row>
    <row r="123" spans="1:17" s="419" customFormat="1" x14ac:dyDescent="0.3">
      <c r="A123" s="427"/>
      <c r="B123" s="428" t="s">
        <v>222</v>
      </c>
      <c r="C123" s="428"/>
      <c r="D123" s="428"/>
      <c r="E123" s="428"/>
      <c r="F123" s="428"/>
      <c r="G123" s="428"/>
      <c r="H123" s="428"/>
      <c r="I123" s="428"/>
      <c r="J123" s="428"/>
      <c r="K123" s="428"/>
      <c r="L123" s="428"/>
      <c r="M123" s="428"/>
      <c r="N123" s="470">
        <v>0</v>
      </c>
      <c r="O123" s="430"/>
      <c r="P123" s="418"/>
    </row>
    <row r="124" spans="1:17" s="419" customFormat="1" x14ac:dyDescent="0.3">
      <c r="A124" s="427"/>
      <c r="B124" s="428" t="s">
        <v>223</v>
      </c>
      <c r="C124" s="428"/>
      <c r="D124" s="428"/>
      <c r="E124" s="428"/>
      <c r="F124" s="428"/>
      <c r="G124" s="428"/>
      <c r="H124" s="428"/>
      <c r="I124" s="428"/>
      <c r="J124" s="428"/>
      <c r="K124" s="428"/>
      <c r="L124" s="428"/>
      <c r="M124" s="428"/>
      <c r="N124" s="470">
        <v>0</v>
      </c>
      <c r="O124" s="430"/>
      <c r="P124" s="418"/>
    </row>
    <row r="125" spans="1:17" s="419" customFormat="1" x14ac:dyDescent="0.3">
      <c r="A125" s="427"/>
      <c r="B125" s="428" t="s">
        <v>42</v>
      </c>
      <c r="C125" s="428"/>
      <c r="D125" s="428"/>
      <c r="E125" s="428"/>
      <c r="F125" s="428"/>
      <c r="G125" s="428"/>
      <c r="H125" s="428"/>
      <c r="I125" s="428"/>
      <c r="J125" s="428"/>
      <c r="K125" s="428"/>
      <c r="L125" s="428"/>
      <c r="M125" s="428"/>
      <c r="N125" s="470">
        <v>0</v>
      </c>
      <c r="O125" s="430"/>
      <c r="P125" s="418"/>
    </row>
    <row r="126" spans="1:17" s="419" customFormat="1" x14ac:dyDescent="0.3">
      <c r="A126" s="427"/>
      <c r="B126" s="428" t="s">
        <v>125</v>
      </c>
      <c r="C126" s="428"/>
      <c r="D126" s="428"/>
      <c r="E126" s="428"/>
      <c r="F126" s="428"/>
      <c r="G126" s="428"/>
      <c r="H126" s="428"/>
      <c r="I126" s="428"/>
      <c r="J126" s="428"/>
      <c r="K126" s="428"/>
      <c r="L126" s="428"/>
      <c r="M126" s="428"/>
      <c r="N126" s="470">
        <v>0</v>
      </c>
      <c r="O126" s="430"/>
      <c r="P126" s="418"/>
    </row>
    <row r="127" spans="1:17" s="419" customFormat="1" x14ac:dyDescent="0.3">
      <c r="A127" s="427"/>
      <c r="B127" s="428" t="s">
        <v>225</v>
      </c>
      <c r="C127" s="428"/>
      <c r="D127" s="428"/>
      <c r="E127" s="428"/>
      <c r="F127" s="428"/>
      <c r="G127" s="428"/>
      <c r="H127" s="428"/>
      <c r="I127" s="428"/>
      <c r="J127" s="428"/>
      <c r="K127" s="428"/>
      <c r="L127" s="428"/>
      <c r="M127" s="428"/>
      <c r="N127" s="470">
        <v>0</v>
      </c>
      <c r="O127" s="430"/>
      <c r="P127" s="418"/>
      <c r="Q127" s="482"/>
    </row>
    <row r="128" spans="1:17" s="419" customFormat="1" x14ac:dyDescent="0.3">
      <c r="A128" s="427"/>
      <c r="B128" s="428" t="s">
        <v>43</v>
      </c>
      <c r="C128" s="428"/>
      <c r="D128" s="428"/>
      <c r="E128" s="428"/>
      <c r="F128" s="428"/>
      <c r="G128" s="428"/>
      <c r="H128" s="428"/>
      <c r="I128" s="428"/>
      <c r="J128" s="428"/>
      <c r="K128" s="428"/>
      <c r="L128" s="428"/>
      <c r="M128" s="428"/>
      <c r="N128" s="470">
        <f>SUM(N120:N127)</f>
        <v>806</v>
      </c>
      <c r="O128" s="430"/>
      <c r="P128" s="418"/>
    </row>
    <row r="129" spans="1:16" x14ac:dyDescent="0.3">
      <c r="A129" s="442"/>
      <c r="B129" s="443"/>
      <c r="C129" s="443"/>
      <c r="D129" s="443"/>
      <c r="E129" s="443"/>
      <c r="F129" s="443"/>
      <c r="G129" s="443"/>
      <c r="H129" s="443"/>
      <c r="I129" s="443"/>
      <c r="J129" s="443"/>
      <c r="K129" s="443"/>
      <c r="L129" s="443"/>
      <c r="M129" s="443"/>
      <c r="N129" s="481"/>
      <c r="O129" s="445"/>
      <c r="P129" s="402"/>
    </row>
    <row r="130" spans="1:16" x14ac:dyDescent="0.3">
      <c r="A130" s="442"/>
      <c r="B130" s="577" t="s">
        <v>179</v>
      </c>
      <c r="C130" s="443"/>
      <c r="D130" s="443"/>
      <c r="E130" s="443"/>
      <c r="F130" s="443"/>
      <c r="G130" s="443"/>
      <c r="H130" s="443"/>
      <c r="I130" s="443"/>
      <c r="J130" s="443"/>
      <c r="K130" s="443"/>
      <c r="L130" s="443"/>
      <c r="M130" s="443"/>
      <c r="N130" s="481"/>
      <c r="O130" s="445"/>
      <c r="P130" s="402"/>
    </row>
    <row r="131" spans="1:16" s="419" customFormat="1" x14ac:dyDescent="0.3">
      <c r="A131" s="427"/>
      <c r="B131" s="428" t="s">
        <v>144</v>
      </c>
      <c r="C131" s="428"/>
      <c r="D131" s="428"/>
      <c r="E131" s="428"/>
      <c r="F131" s="428"/>
      <c r="G131" s="428"/>
      <c r="H131" s="428"/>
      <c r="I131" s="428"/>
      <c r="J131" s="428"/>
      <c r="K131" s="428"/>
      <c r="L131" s="428"/>
      <c r="M131" s="428"/>
      <c r="N131" s="470">
        <v>7098</v>
      </c>
      <c r="O131" s="430"/>
      <c r="P131" s="418"/>
    </row>
    <row r="132" spans="1:16" s="419" customFormat="1" x14ac:dyDescent="0.3">
      <c r="A132" s="427"/>
      <c r="B132" s="428" t="s">
        <v>159</v>
      </c>
      <c r="C132" s="428"/>
      <c r="D132" s="428"/>
      <c r="E132" s="428"/>
      <c r="F132" s="428"/>
      <c r="G132" s="428"/>
      <c r="H132" s="428"/>
      <c r="I132" s="428"/>
      <c r="J132" s="428"/>
      <c r="K132" s="428"/>
      <c r="L132" s="428"/>
      <c r="M132" s="428"/>
      <c r="N132" s="470">
        <v>0</v>
      </c>
      <c r="O132" s="430"/>
      <c r="P132" s="418"/>
    </row>
    <row r="133" spans="1:16" s="419" customFormat="1" x14ac:dyDescent="0.3">
      <c r="A133" s="427"/>
      <c r="B133" s="428" t="s">
        <v>278</v>
      </c>
      <c r="C133" s="428"/>
      <c r="D133" s="428"/>
      <c r="E133" s="428"/>
      <c r="F133" s="428"/>
      <c r="G133" s="428"/>
      <c r="H133" s="428"/>
      <c r="I133" s="428"/>
      <c r="J133" s="428"/>
      <c r="K133" s="428"/>
      <c r="L133" s="428"/>
      <c r="M133" s="428"/>
      <c r="N133" s="470">
        <v>0</v>
      </c>
      <c r="O133" s="430"/>
      <c r="P133" s="418"/>
    </row>
    <row r="134" spans="1:16" x14ac:dyDescent="0.3">
      <c r="A134" s="442"/>
      <c r="B134" s="443"/>
      <c r="C134" s="443"/>
      <c r="D134" s="443"/>
      <c r="E134" s="443"/>
      <c r="F134" s="443"/>
      <c r="G134" s="443"/>
      <c r="H134" s="443"/>
      <c r="I134" s="443"/>
      <c r="J134" s="443"/>
      <c r="K134" s="443"/>
      <c r="L134" s="443"/>
      <c r="M134" s="443"/>
      <c r="N134" s="481"/>
      <c r="O134" s="445"/>
      <c r="P134" s="402"/>
    </row>
    <row r="135" spans="1:16" x14ac:dyDescent="0.3">
      <c r="A135" s="404"/>
      <c r="B135" s="471"/>
      <c r="C135" s="471"/>
      <c r="D135" s="471"/>
      <c r="E135" s="471"/>
      <c r="F135" s="471"/>
      <c r="G135" s="471"/>
      <c r="H135" s="471"/>
      <c r="I135" s="471"/>
      <c r="J135" s="471"/>
      <c r="K135" s="471"/>
      <c r="L135" s="471"/>
      <c r="M135" s="471"/>
      <c r="N135" s="488"/>
      <c r="O135" s="471"/>
      <c r="P135" s="402"/>
    </row>
    <row r="136" spans="1:16" x14ac:dyDescent="0.3">
      <c r="A136" s="404"/>
      <c r="B136" s="578" t="s">
        <v>22</v>
      </c>
      <c r="C136" s="406"/>
      <c r="D136" s="406"/>
      <c r="E136" s="406"/>
      <c r="F136" s="406"/>
      <c r="G136" s="406"/>
      <c r="H136" s="406"/>
      <c r="I136" s="406"/>
      <c r="J136" s="406"/>
      <c r="K136" s="406"/>
      <c r="L136" s="406"/>
      <c r="M136" s="406"/>
      <c r="N136" s="468"/>
      <c r="O136" s="406"/>
      <c r="P136" s="402"/>
    </row>
    <row r="137" spans="1:16" s="419" customFormat="1" x14ac:dyDescent="0.3">
      <c r="A137" s="427"/>
      <c r="B137" s="428" t="s">
        <v>44</v>
      </c>
      <c r="C137" s="428"/>
      <c r="D137" s="428"/>
      <c r="E137" s="428"/>
      <c r="F137" s="428"/>
      <c r="G137" s="428"/>
      <c r="H137" s="428"/>
      <c r="I137" s="428"/>
      <c r="J137" s="428"/>
      <c r="K137" s="428"/>
      <c r="L137" s="428"/>
      <c r="M137" s="428"/>
      <c r="N137" s="489" t="s">
        <v>117</v>
      </c>
      <c r="O137" s="430"/>
      <c r="P137" s="418"/>
    </row>
    <row r="138" spans="1:16" s="419" customFormat="1" x14ac:dyDescent="0.3">
      <c r="A138" s="427"/>
      <c r="B138" s="428" t="s">
        <v>45</v>
      </c>
      <c r="C138" s="428"/>
      <c r="D138" s="428"/>
      <c r="E138" s="428"/>
      <c r="F138" s="428"/>
      <c r="G138" s="428"/>
      <c r="H138" s="428"/>
      <c r="I138" s="428"/>
      <c r="J138" s="428"/>
      <c r="K138" s="428"/>
      <c r="L138" s="428"/>
      <c r="M138" s="428"/>
      <c r="N138" s="489" t="s">
        <v>117</v>
      </c>
      <c r="O138" s="430"/>
      <c r="P138" s="418"/>
    </row>
    <row r="139" spans="1:16" s="419" customFormat="1" x14ac:dyDescent="0.3">
      <c r="A139" s="427"/>
      <c r="B139" s="428" t="s">
        <v>46</v>
      </c>
      <c r="C139" s="428"/>
      <c r="D139" s="428"/>
      <c r="E139" s="428"/>
      <c r="F139" s="428"/>
      <c r="G139" s="428"/>
      <c r="H139" s="428"/>
      <c r="I139" s="428"/>
      <c r="J139" s="428"/>
      <c r="K139" s="428"/>
      <c r="L139" s="428"/>
      <c r="M139" s="428"/>
      <c r="N139" s="489" t="s">
        <v>117</v>
      </c>
      <c r="O139" s="430"/>
      <c r="P139" s="418"/>
    </row>
    <row r="140" spans="1:16" s="419" customFormat="1" x14ac:dyDescent="0.3">
      <c r="A140" s="427"/>
      <c r="B140" s="428" t="s">
        <v>47</v>
      </c>
      <c r="C140" s="428"/>
      <c r="D140" s="428"/>
      <c r="E140" s="428"/>
      <c r="F140" s="428"/>
      <c r="G140" s="428"/>
      <c r="H140" s="428"/>
      <c r="I140" s="428"/>
      <c r="J140" s="428"/>
      <c r="K140" s="428"/>
      <c r="L140" s="428"/>
      <c r="M140" s="428"/>
      <c r="N140" s="489" t="s">
        <v>117</v>
      </c>
      <c r="O140" s="430"/>
      <c r="P140" s="418"/>
    </row>
    <row r="141" spans="1:16" x14ac:dyDescent="0.3">
      <c r="A141" s="404"/>
      <c r="B141" s="471"/>
      <c r="C141" s="471"/>
      <c r="D141" s="471"/>
      <c r="E141" s="471"/>
      <c r="F141" s="471"/>
      <c r="G141" s="471"/>
      <c r="H141" s="471"/>
      <c r="I141" s="471"/>
      <c r="J141" s="471"/>
      <c r="K141" s="471"/>
      <c r="L141" s="471"/>
      <c r="M141" s="471"/>
      <c r="N141" s="488"/>
      <c r="O141" s="471"/>
      <c r="P141" s="402"/>
    </row>
    <row r="142" spans="1:16" x14ac:dyDescent="0.3">
      <c r="A142" s="404"/>
      <c r="B142" s="578" t="s">
        <v>48</v>
      </c>
      <c r="C142" s="406"/>
      <c r="D142" s="406"/>
      <c r="E142" s="406"/>
      <c r="F142" s="406"/>
      <c r="G142" s="406"/>
      <c r="H142" s="406"/>
      <c r="I142" s="406"/>
      <c r="J142" s="406"/>
      <c r="K142" s="406"/>
      <c r="L142" s="406"/>
      <c r="M142" s="406"/>
      <c r="N142" s="490"/>
      <c r="O142" s="406"/>
      <c r="P142" s="402"/>
    </row>
    <row r="143" spans="1:16" s="419" customFormat="1" x14ac:dyDescent="0.3">
      <c r="A143" s="427"/>
      <c r="B143" s="428" t="s">
        <v>49</v>
      </c>
      <c r="C143" s="428"/>
      <c r="D143" s="428"/>
      <c r="E143" s="428"/>
      <c r="F143" s="428"/>
      <c r="G143" s="428"/>
      <c r="H143" s="428"/>
      <c r="I143" s="428"/>
      <c r="J143" s="428"/>
      <c r="K143" s="428"/>
      <c r="L143" s="428"/>
      <c r="M143" s="428"/>
      <c r="N143" s="470">
        <v>0</v>
      </c>
      <c r="O143" s="430"/>
      <c r="P143" s="418"/>
    </row>
    <row r="144" spans="1:16" s="419" customFormat="1" x14ac:dyDescent="0.3">
      <c r="A144" s="427"/>
      <c r="B144" s="428" t="s">
        <v>50</v>
      </c>
      <c r="C144" s="428"/>
      <c r="D144" s="428"/>
      <c r="E144" s="428"/>
      <c r="F144" s="428"/>
      <c r="G144" s="428"/>
      <c r="H144" s="428"/>
      <c r="I144" s="428"/>
      <c r="J144" s="428"/>
      <c r="K144" s="428"/>
      <c r="L144" s="428"/>
      <c r="M144" s="428"/>
      <c r="N144" s="470">
        <v>0</v>
      </c>
      <c r="O144" s="430"/>
      <c r="P144" s="418"/>
    </row>
    <row r="145" spans="1:256" s="419" customFormat="1" x14ac:dyDescent="0.3">
      <c r="A145" s="427"/>
      <c r="B145" s="428" t="s">
        <v>51</v>
      </c>
      <c r="C145" s="428"/>
      <c r="D145" s="428"/>
      <c r="E145" s="428"/>
      <c r="F145" s="428"/>
      <c r="G145" s="428"/>
      <c r="H145" s="428"/>
      <c r="I145" s="428"/>
      <c r="J145" s="428"/>
      <c r="K145" s="428"/>
      <c r="L145" s="428"/>
      <c r="M145" s="428"/>
      <c r="N145" s="470">
        <f>+N143+N144</f>
        <v>0</v>
      </c>
      <c r="O145" s="430"/>
      <c r="P145" s="418"/>
    </row>
    <row r="146" spans="1:256" s="419" customFormat="1" x14ac:dyDescent="0.3">
      <c r="A146" s="427"/>
      <c r="B146" s="428" t="s">
        <v>264</v>
      </c>
      <c r="C146" s="428"/>
      <c r="D146" s="428"/>
      <c r="E146" s="428"/>
      <c r="F146" s="428"/>
      <c r="G146" s="428"/>
      <c r="H146" s="428"/>
      <c r="I146" s="428"/>
      <c r="J146" s="428"/>
      <c r="K146" s="428"/>
      <c r="L146" s="428"/>
      <c r="M146" s="428"/>
      <c r="N146" s="470">
        <f>N98</f>
        <v>0</v>
      </c>
      <c r="O146" s="430"/>
      <c r="P146" s="418"/>
    </row>
    <row r="147" spans="1:256" s="419" customFormat="1" x14ac:dyDescent="0.3">
      <c r="A147" s="427"/>
      <c r="B147" s="428" t="s">
        <v>52</v>
      </c>
      <c r="C147" s="428"/>
      <c r="D147" s="428"/>
      <c r="E147" s="428"/>
      <c r="F147" s="428"/>
      <c r="G147" s="428"/>
      <c r="H147" s="428"/>
      <c r="I147" s="428"/>
      <c r="J147" s="428"/>
      <c r="K147" s="428"/>
      <c r="L147" s="428"/>
      <c r="M147" s="428"/>
      <c r="N147" s="470">
        <f>N145+N146</f>
        <v>0</v>
      </c>
      <c r="O147" s="430"/>
      <c r="P147" s="418"/>
    </row>
    <row r="148" spans="1:256" ht="16.2" thickBot="1" x14ac:dyDescent="0.35">
      <c r="A148" s="404"/>
      <c r="B148" s="471"/>
      <c r="C148" s="471"/>
      <c r="D148" s="471"/>
      <c r="E148" s="471"/>
      <c r="F148" s="471"/>
      <c r="G148" s="471"/>
      <c r="H148" s="471"/>
      <c r="I148" s="471"/>
      <c r="J148" s="471"/>
      <c r="K148" s="471"/>
      <c r="L148" s="471"/>
      <c r="M148" s="471"/>
      <c r="N148" s="488"/>
      <c r="O148" s="471"/>
      <c r="P148" s="402"/>
    </row>
    <row r="149" spans="1:256" x14ac:dyDescent="0.3">
      <c r="A149" s="399"/>
      <c r="B149" s="401"/>
      <c r="C149" s="401"/>
      <c r="D149" s="401"/>
      <c r="E149" s="401"/>
      <c r="F149" s="401"/>
      <c r="G149" s="401"/>
      <c r="H149" s="401"/>
      <c r="I149" s="401"/>
      <c r="J149" s="401"/>
      <c r="K149" s="401"/>
      <c r="L149" s="401"/>
      <c r="M149" s="401"/>
      <c r="N149" s="491"/>
      <c r="O149" s="401"/>
      <c r="P149" s="402"/>
    </row>
    <row r="150" spans="1:256" x14ac:dyDescent="0.3">
      <c r="A150" s="404"/>
      <c r="B150" s="578" t="s">
        <v>53</v>
      </c>
      <c r="C150" s="406"/>
      <c r="D150" s="406"/>
      <c r="E150" s="406"/>
      <c r="F150" s="406"/>
      <c r="G150" s="406"/>
      <c r="H150" s="406"/>
      <c r="I150" s="406"/>
      <c r="J150" s="406"/>
      <c r="K150" s="406"/>
      <c r="L150" s="406"/>
      <c r="M150" s="406"/>
      <c r="N150" s="468"/>
      <c r="O150" s="406"/>
      <c r="P150" s="402"/>
    </row>
    <row r="151" spans="1:256" x14ac:dyDescent="0.3">
      <c r="A151" s="404"/>
      <c r="B151" s="487"/>
      <c r="C151" s="406"/>
      <c r="D151" s="406"/>
      <c r="E151" s="406"/>
      <c r="F151" s="406"/>
      <c r="G151" s="406"/>
      <c r="H151" s="406"/>
      <c r="I151" s="406"/>
      <c r="J151" s="406"/>
      <c r="K151" s="406"/>
      <c r="L151" s="406"/>
      <c r="M151" s="406"/>
      <c r="N151" s="468"/>
      <c r="O151" s="406"/>
      <c r="P151" s="402"/>
    </row>
    <row r="152" spans="1:256" s="419" customFormat="1" x14ac:dyDescent="0.3">
      <c r="A152" s="427"/>
      <c r="B152" s="428" t="s">
        <v>234</v>
      </c>
      <c r="C152" s="428"/>
      <c r="D152" s="428"/>
      <c r="E152" s="428"/>
      <c r="F152" s="428"/>
      <c r="G152" s="428"/>
      <c r="H152" s="428"/>
      <c r="I152" s="428"/>
      <c r="J152" s="428"/>
      <c r="K152" s="428"/>
      <c r="L152" s="428"/>
      <c r="M152" s="428"/>
      <c r="N152" s="470">
        <f>N56</f>
        <v>10052</v>
      </c>
      <c r="O152" s="430"/>
      <c r="P152" s="418"/>
      <c r="Q152" s="482"/>
    </row>
    <row r="153" spans="1:256" s="419" customFormat="1" x14ac:dyDescent="0.3">
      <c r="A153" s="427"/>
      <c r="B153" s="428" t="s">
        <v>54</v>
      </c>
      <c r="C153" s="428"/>
      <c r="D153" s="428"/>
      <c r="E153" s="428"/>
      <c r="F153" s="428"/>
      <c r="G153" s="428"/>
      <c r="H153" s="428"/>
      <c r="I153" s="428"/>
      <c r="J153" s="428"/>
      <c r="K153" s="428"/>
      <c r="L153" s="428"/>
      <c r="M153" s="428"/>
      <c r="N153" s="470">
        <f>N72</f>
        <v>10052</v>
      </c>
      <c r="O153" s="430"/>
      <c r="P153" s="418"/>
    </row>
    <row r="154" spans="1:256" ht="16.2" thickBot="1" x14ac:dyDescent="0.35">
      <c r="A154" s="404"/>
      <c r="B154" s="471"/>
      <c r="C154" s="471"/>
      <c r="D154" s="471"/>
      <c r="E154" s="471"/>
      <c r="F154" s="471"/>
      <c r="G154" s="471"/>
      <c r="H154" s="471"/>
      <c r="I154" s="471"/>
      <c r="J154" s="471"/>
      <c r="K154" s="471"/>
      <c r="L154" s="471"/>
      <c r="M154" s="471"/>
      <c r="N154" s="488"/>
      <c r="O154" s="471"/>
      <c r="P154" s="402"/>
    </row>
    <row r="155" spans="1:256" s="492" customFormat="1" x14ac:dyDescent="0.3">
      <c r="A155" s="399"/>
      <c r="B155" s="401"/>
      <c r="C155" s="401"/>
      <c r="D155" s="401"/>
      <c r="E155" s="401"/>
      <c r="F155" s="401"/>
      <c r="G155" s="401"/>
      <c r="H155" s="401"/>
      <c r="I155" s="401"/>
      <c r="J155" s="401"/>
      <c r="K155" s="401"/>
      <c r="L155" s="401"/>
      <c r="M155" s="401"/>
      <c r="N155" s="491"/>
      <c r="O155" s="401"/>
      <c r="P155" s="402"/>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c r="AN155" s="403"/>
      <c r="AO155" s="403"/>
      <c r="AP155" s="403"/>
      <c r="AQ155" s="403"/>
      <c r="AR155" s="403"/>
      <c r="AS155" s="403"/>
      <c r="AT155" s="403"/>
      <c r="AU155" s="403"/>
      <c r="AV155" s="403"/>
      <c r="AW155" s="403"/>
      <c r="AX155" s="403"/>
      <c r="AY155" s="403"/>
      <c r="AZ155" s="403"/>
      <c r="BA155" s="403"/>
      <c r="BB155" s="403"/>
      <c r="BC155" s="403"/>
      <c r="BD155" s="403"/>
      <c r="BE155" s="403"/>
      <c r="BF155" s="403"/>
      <c r="BG155" s="403"/>
      <c r="BH155" s="403"/>
      <c r="BI155" s="403"/>
      <c r="BJ155" s="403"/>
      <c r="BK155" s="403"/>
      <c r="BL155" s="403"/>
      <c r="BM155" s="403"/>
      <c r="BN155" s="403"/>
      <c r="BO155" s="403"/>
      <c r="BP155" s="403"/>
      <c r="BQ155" s="403"/>
      <c r="BR155" s="403"/>
      <c r="BS155" s="403"/>
      <c r="BT155" s="403"/>
      <c r="BU155" s="403"/>
      <c r="BV155" s="403"/>
      <c r="BW155" s="403"/>
      <c r="BX155" s="403"/>
      <c r="BY155" s="403"/>
      <c r="BZ155" s="403"/>
      <c r="CA155" s="403"/>
      <c r="CB155" s="403"/>
      <c r="CC155" s="403"/>
      <c r="CD155" s="403"/>
      <c r="CE155" s="403"/>
      <c r="CF155" s="403"/>
      <c r="CG155" s="403"/>
      <c r="CH155" s="403"/>
      <c r="CI155" s="403"/>
      <c r="CJ155" s="403"/>
      <c r="CK155" s="403"/>
      <c r="CL155" s="403"/>
      <c r="CM155" s="403"/>
      <c r="CN155" s="403"/>
      <c r="CO155" s="403"/>
      <c r="CP155" s="403"/>
      <c r="CQ155" s="403"/>
      <c r="CR155" s="403"/>
      <c r="CS155" s="403"/>
      <c r="CT155" s="403"/>
      <c r="CU155" s="403"/>
      <c r="CV155" s="403"/>
      <c r="CW155" s="403"/>
      <c r="CX155" s="403"/>
      <c r="CY155" s="403"/>
      <c r="CZ155" s="403"/>
      <c r="DA155" s="403"/>
      <c r="DB155" s="403"/>
      <c r="DC155" s="403"/>
      <c r="DD155" s="403"/>
      <c r="DE155" s="403"/>
      <c r="DF155" s="403"/>
      <c r="DG155" s="403"/>
      <c r="DH155" s="403"/>
      <c r="DI155" s="403"/>
      <c r="DJ155" s="403"/>
      <c r="DK155" s="403"/>
      <c r="DL155" s="403"/>
      <c r="DM155" s="403"/>
      <c r="DN155" s="403"/>
      <c r="DO155" s="403"/>
      <c r="DP155" s="403"/>
      <c r="DQ155" s="403"/>
      <c r="DR155" s="403"/>
      <c r="DS155" s="403"/>
      <c r="DT155" s="403"/>
      <c r="DU155" s="403"/>
      <c r="DV155" s="403"/>
      <c r="DW155" s="403"/>
      <c r="DX155" s="403"/>
      <c r="DY155" s="403"/>
      <c r="DZ155" s="403"/>
      <c r="EA155" s="403"/>
      <c r="EB155" s="403"/>
      <c r="EC155" s="403"/>
      <c r="ED155" s="403"/>
      <c r="EE155" s="403"/>
      <c r="EF155" s="403"/>
      <c r="EG155" s="403"/>
      <c r="EH155" s="403"/>
      <c r="EI155" s="403"/>
      <c r="EJ155" s="403"/>
      <c r="EK155" s="403"/>
      <c r="EL155" s="403"/>
      <c r="EM155" s="403"/>
      <c r="EN155" s="403"/>
      <c r="EO155" s="403"/>
      <c r="EP155" s="403"/>
      <c r="EQ155" s="403"/>
      <c r="ER155" s="403"/>
      <c r="ES155" s="403"/>
      <c r="ET155" s="403"/>
      <c r="EU155" s="403"/>
      <c r="EV155" s="403"/>
      <c r="EW155" s="403"/>
      <c r="EX155" s="403"/>
      <c r="EY155" s="403"/>
      <c r="EZ155" s="403"/>
      <c r="FA155" s="403"/>
      <c r="FB155" s="403"/>
      <c r="FC155" s="403"/>
      <c r="FD155" s="403"/>
      <c r="FE155" s="403"/>
      <c r="FF155" s="403"/>
      <c r="FG155" s="403"/>
      <c r="FH155" s="403"/>
      <c r="FI155" s="403"/>
      <c r="FJ155" s="403"/>
      <c r="FK155" s="403"/>
      <c r="FL155" s="403"/>
      <c r="FM155" s="403"/>
      <c r="FN155" s="403"/>
      <c r="FO155" s="403"/>
      <c r="FP155" s="403"/>
      <c r="FQ155" s="403"/>
      <c r="FR155" s="403"/>
      <c r="FS155" s="403"/>
      <c r="FT155" s="403"/>
      <c r="FU155" s="403"/>
      <c r="FV155" s="403"/>
      <c r="FW155" s="403"/>
      <c r="FX155" s="403"/>
      <c r="FY155" s="403"/>
      <c r="FZ155" s="403"/>
      <c r="GA155" s="403"/>
      <c r="GB155" s="403"/>
      <c r="GC155" s="403"/>
      <c r="GD155" s="403"/>
      <c r="GE155" s="403"/>
      <c r="GF155" s="403"/>
      <c r="GG155" s="403"/>
      <c r="GH155" s="403"/>
      <c r="GI155" s="403"/>
      <c r="GJ155" s="403"/>
      <c r="GK155" s="403"/>
      <c r="GL155" s="403"/>
      <c r="GM155" s="403"/>
      <c r="GN155" s="403"/>
      <c r="GO155" s="403"/>
      <c r="GP155" s="403"/>
      <c r="GQ155" s="403"/>
      <c r="GR155" s="403"/>
      <c r="GS155" s="403"/>
      <c r="GT155" s="403"/>
      <c r="GU155" s="403"/>
      <c r="GV155" s="403"/>
      <c r="GW155" s="403"/>
      <c r="GX155" s="403"/>
      <c r="GY155" s="403"/>
      <c r="GZ155" s="403"/>
      <c r="HA155" s="403"/>
      <c r="HB155" s="403"/>
      <c r="HC155" s="403"/>
      <c r="HD155" s="403"/>
      <c r="HE155" s="403"/>
      <c r="HF155" s="403"/>
      <c r="HG155" s="403"/>
      <c r="HH155" s="403"/>
      <c r="HI155" s="403"/>
      <c r="HJ155" s="403"/>
      <c r="HK155" s="403"/>
      <c r="HL155" s="403"/>
      <c r="HM155" s="403"/>
      <c r="HN155" s="403"/>
      <c r="HO155" s="403"/>
      <c r="HP155" s="403"/>
      <c r="HQ155" s="403"/>
      <c r="HR155" s="403"/>
      <c r="HS155" s="403"/>
      <c r="HT155" s="403"/>
      <c r="HU155" s="403"/>
      <c r="HV155" s="403"/>
      <c r="HW155" s="403"/>
      <c r="HX155" s="403"/>
      <c r="HY155" s="403"/>
      <c r="HZ155" s="403"/>
      <c r="IA155" s="403"/>
      <c r="IB155" s="403"/>
      <c r="IC155" s="403"/>
      <c r="ID155" s="403"/>
      <c r="IE155" s="403"/>
      <c r="IF155" s="403"/>
      <c r="IG155" s="403"/>
      <c r="IH155" s="403"/>
      <c r="II155" s="403"/>
      <c r="IJ155" s="403"/>
      <c r="IK155" s="403"/>
      <c r="IL155" s="403"/>
      <c r="IM155" s="403"/>
      <c r="IN155" s="403"/>
      <c r="IO155" s="403"/>
      <c r="IP155" s="403"/>
      <c r="IQ155" s="403"/>
      <c r="IR155" s="403"/>
      <c r="IS155" s="403"/>
      <c r="IT155" s="403"/>
      <c r="IU155" s="403"/>
      <c r="IV155" s="403"/>
    </row>
    <row r="156" spans="1:256" s="493" customFormat="1" x14ac:dyDescent="0.3">
      <c r="A156" s="404"/>
      <c r="B156" s="579" t="s">
        <v>205</v>
      </c>
      <c r="C156" s="471"/>
      <c r="D156" s="471"/>
      <c r="E156" s="471"/>
      <c r="F156" s="471"/>
      <c r="G156" s="471"/>
      <c r="H156" s="471"/>
      <c r="I156" s="471"/>
      <c r="J156" s="471"/>
      <c r="K156" s="471"/>
      <c r="L156" s="471"/>
      <c r="M156" s="471"/>
      <c r="N156" s="488"/>
      <c r="O156" s="471"/>
      <c r="P156" s="402"/>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c r="BM156" s="403"/>
      <c r="BN156" s="403"/>
      <c r="BO156" s="403"/>
      <c r="BP156" s="403"/>
      <c r="BQ156" s="403"/>
      <c r="BR156" s="403"/>
      <c r="BS156" s="403"/>
      <c r="BT156" s="403"/>
      <c r="BU156" s="403"/>
      <c r="BV156" s="403"/>
      <c r="BW156" s="403"/>
      <c r="BX156" s="403"/>
      <c r="BY156" s="403"/>
      <c r="BZ156" s="403"/>
      <c r="CA156" s="403"/>
      <c r="CB156" s="403"/>
      <c r="CC156" s="403"/>
      <c r="CD156" s="403"/>
      <c r="CE156" s="403"/>
      <c r="CF156" s="403"/>
      <c r="CG156" s="403"/>
      <c r="CH156" s="403"/>
      <c r="CI156" s="403"/>
      <c r="CJ156" s="403"/>
      <c r="CK156" s="403"/>
      <c r="CL156" s="403"/>
      <c r="CM156" s="403"/>
      <c r="CN156" s="403"/>
      <c r="CO156" s="403"/>
      <c r="CP156" s="403"/>
      <c r="CQ156" s="403"/>
      <c r="CR156" s="403"/>
      <c r="CS156" s="403"/>
      <c r="CT156" s="403"/>
      <c r="CU156" s="403"/>
      <c r="CV156" s="403"/>
      <c r="CW156" s="403"/>
      <c r="CX156" s="403"/>
      <c r="CY156" s="403"/>
      <c r="CZ156" s="403"/>
      <c r="DA156" s="403"/>
      <c r="DB156" s="403"/>
      <c r="DC156" s="403"/>
      <c r="DD156" s="403"/>
      <c r="DE156" s="403"/>
      <c r="DF156" s="403"/>
      <c r="DG156" s="403"/>
      <c r="DH156" s="403"/>
      <c r="DI156" s="403"/>
      <c r="DJ156" s="403"/>
      <c r="DK156" s="403"/>
      <c r="DL156" s="403"/>
      <c r="DM156" s="403"/>
      <c r="DN156" s="403"/>
      <c r="DO156" s="403"/>
      <c r="DP156" s="403"/>
      <c r="DQ156" s="403"/>
      <c r="DR156" s="403"/>
      <c r="DS156" s="403"/>
      <c r="DT156" s="403"/>
      <c r="DU156" s="403"/>
      <c r="DV156" s="403"/>
      <c r="DW156" s="403"/>
      <c r="DX156" s="403"/>
      <c r="DY156" s="403"/>
      <c r="DZ156" s="403"/>
      <c r="EA156" s="403"/>
      <c r="EB156" s="403"/>
      <c r="EC156" s="403"/>
      <c r="ED156" s="403"/>
      <c r="EE156" s="403"/>
      <c r="EF156" s="403"/>
      <c r="EG156" s="403"/>
      <c r="EH156" s="403"/>
      <c r="EI156" s="403"/>
      <c r="EJ156" s="403"/>
      <c r="EK156" s="403"/>
      <c r="EL156" s="403"/>
      <c r="EM156" s="403"/>
      <c r="EN156" s="403"/>
      <c r="EO156" s="403"/>
      <c r="EP156" s="403"/>
      <c r="EQ156" s="403"/>
      <c r="ER156" s="403"/>
      <c r="ES156" s="403"/>
      <c r="ET156" s="403"/>
      <c r="EU156" s="403"/>
      <c r="EV156" s="403"/>
      <c r="EW156" s="403"/>
      <c r="EX156" s="403"/>
      <c r="EY156" s="403"/>
      <c r="EZ156" s="403"/>
      <c r="FA156" s="403"/>
      <c r="FB156" s="403"/>
      <c r="FC156" s="403"/>
      <c r="FD156" s="403"/>
      <c r="FE156" s="403"/>
      <c r="FF156" s="403"/>
      <c r="FG156" s="403"/>
      <c r="FH156" s="403"/>
      <c r="FI156" s="403"/>
      <c r="FJ156" s="403"/>
      <c r="FK156" s="403"/>
      <c r="FL156" s="403"/>
      <c r="FM156" s="403"/>
      <c r="FN156" s="403"/>
      <c r="FO156" s="403"/>
      <c r="FP156" s="403"/>
      <c r="FQ156" s="403"/>
      <c r="FR156" s="403"/>
      <c r="FS156" s="403"/>
      <c r="FT156" s="403"/>
      <c r="FU156" s="403"/>
      <c r="FV156" s="403"/>
      <c r="FW156" s="403"/>
      <c r="FX156" s="403"/>
      <c r="FY156" s="403"/>
      <c r="FZ156" s="403"/>
      <c r="GA156" s="403"/>
      <c r="GB156" s="403"/>
      <c r="GC156" s="403"/>
      <c r="GD156" s="403"/>
      <c r="GE156" s="403"/>
      <c r="GF156" s="403"/>
      <c r="GG156" s="403"/>
      <c r="GH156" s="403"/>
      <c r="GI156" s="403"/>
      <c r="GJ156" s="403"/>
      <c r="GK156" s="403"/>
      <c r="GL156" s="403"/>
      <c r="GM156" s="403"/>
      <c r="GN156" s="403"/>
      <c r="GO156" s="403"/>
      <c r="GP156" s="403"/>
      <c r="GQ156" s="403"/>
      <c r="GR156" s="403"/>
      <c r="GS156" s="403"/>
      <c r="GT156" s="403"/>
      <c r="GU156" s="403"/>
      <c r="GV156" s="403"/>
      <c r="GW156" s="403"/>
      <c r="GX156" s="403"/>
      <c r="GY156" s="403"/>
      <c r="GZ156" s="403"/>
      <c r="HA156" s="403"/>
      <c r="HB156" s="403"/>
      <c r="HC156" s="403"/>
      <c r="HD156" s="403"/>
      <c r="HE156" s="403"/>
      <c r="HF156" s="403"/>
      <c r="HG156" s="403"/>
      <c r="HH156" s="403"/>
      <c r="HI156" s="403"/>
      <c r="HJ156" s="403"/>
      <c r="HK156" s="403"/>
      <c r="HL156" s="403"/>
      <c r="HM156" s="403"/>
      <c r="HN156" s="403"/>
      <c r="HO156" s="403"/>
      <c r="HP156" s="403"/>
      <c r="HQ156" s="403"/>
      <c r="HR156" s="403"/>
      <c r="HS156" s="403"/>
      <c r="HT156" s="403"/>
      <c r="HU156" s="403"/>
      <c r="HV156" s="403"/>
      <c r="HW156" s="403"/>
      <c r="HX156" s="403"/>
      <c r="HY156" s="403"/>
      <c r="HZ156" s="403"/>
      <c r="IA156" s="403"/>
      <c r="IB156" s="403"/>
      <c r="IC156" s="403"/>
      <c r="ID156" s="403"/>
      <c r="IE156" s="403"/>
      <c r="IF156" s="403"/>
      <c r="IG156" s="403"/>
      <c r="IH156" s="403"/>
      <c r="II156" s="403"/>
      <c r="IJ156" s="403"/>
      <c r="IK156" s="403"/>
      <c r="IL156" s="403"/>
      <c r="IM156" s="403"/>
      <c r="IN156" s="403"/>
      <c r="IO156" s="403"/>
      <c r="IP156" s="403"/>
      <c r="IQ156" s="403"/>
      <c r="IR156" s="403"/>
      <c r="IS156" s="403"/>
      <c r="IT156" s="403"/>
      <c r="IU156" s="403"/>
      <c r="IV156" s="403"/>
    </row>
    <row r="157" spans="1:256" x14ac:dyDescent="0.3">
      <c r="A157" s="404"/>
      <c r="B157" s="471"/>
      <c r="C157" s="471"/>
      <c r="D157" s="471"/>
      <c r="E157" s="471"/>
      <c r="F157" s="471"/>
      <c r="G157" s="471"/>
      <c r="H157" s="471"/>
      <c r="I157" s="471"/>
      <c r="J157" s="471"/>
      <c r="K157" s="471"/>
      <c r="L157" s="471"/>
      <c r="M157" s="471"/>
      <c r="N157" s="488"/>
      <c r="O157" s="471"/>
      <c r="P157" s="402"/>
    </row>
    <row r="158" spans="1:256" s="494" customFormat="1" x14ac:dyDescent="0.3">
      <c r="A158" s="427"/>
      <c r="B158" s="428" t="s">
        <v>206</v>
      </c>
      <c r="C158" s="428"/>
      <c r="D158" s="428"/>
      <c r="E158" s="428"/>
      <c r="F158" s="428"/>
      <c r="G158" s="428"/>
      <c r="H158" s="428"/>
      <c r="I158" s="428"/>
      <c r="J158" s="428"/>
      <c r="K158" s="428"/>
      <c r="L158" s="428"/>
      <c r="M158" s="428"/>
      <c r="N158" s="470">
        <f>+'Nov 18'!N161</f>
        <v>37</v>
      </c>
      <c r="O158" s="430"/>
      <c r="P158" s="418"/>
      <c r="Q158" s="419"/>
      <c r="R158" s="419"/>
      <c r="S158" s="419"/>
      <c r="T158" s="419"/>
      <c r="U158" s="419"/>
      <c r="V158" s="419"/>
      <c r="W158" s="419"/>
      <c r="X158" s="419"/>
      <c r="Y158" s="419"/>
      <c r="Z158" s="419"/>
      <c r="AA158" s="419"/>
      <c r="AB158" s="419"/>
      <c r="AC158" s="419"/>
      <c r="AD158" s="419"/>
      <c r="AE158" s="419"/>
      <c r="AF158" s="419"/>
      <c r="AG158" s="419"/>
      <c r="AH158" s="419"/>
      <c r="AI158" s="419"/>
      <c r="AJ158" s="419"/>
      <c r="AK158" s="419"/>
      <c r="AL158" s="419"/>
      <c r="AM158" s="419"/>
      <c r="AN158" s="419"/>
      <c r="AO158" s="419"/>
      <c r="AP158" s="419"/>
      <c r="AQ158" s="419"/>
      <c r="AR158" s="419"/>
      <c r="AS158" s="419"/>
      <c r="AT158" s="419"/>
      <c r="AU158" s="419"/>
      <c r="AV158" s="419"/>
      <c r="AW158" s="419"/>
      <c r="AX158" s="419"/>
      <c r="AY158" s="419"/>
      <c r="AZ158" s="419"/>
      <c r="BA158" s="419"/>
      <c r="BB158" s="419"/>
      <c r="BC158" s="419"/>
      <c r="BD158" s="419"/>
      <c r="BE158" s="419"/>
      <c r="BF158" s="419"/>
      <c r="BG158" s="419"/>
      <c r="BH158" s="419"/>
      <c r="BI158" s="419"/>
      <c r="BJ158" s="419"/>
      <c r="BK158" s="419"/>
      <c r="BL158" s="419"/>
      <c r="BM158" s="419"/>
      <c r="BN158" s="419"/>
      <c r="BO158" s="419"/>
      <c r="BP158" s="419"/>
      <c r="BQ158" s="419"/>
      <c r="BR158" s="419"/>
      <c r="BS158" s="419"/>
      <c r="BT158" s="419"/>
      <c r="BU158" s="419"/>
      <c r="BV158" s="419"/>
      <c r="BW158" s="419"/>
      <c r="BX158" s="419"/>
      <c r="BY158" s="419"/>
      <c r="BZ158" s="419"/>
      <c r="CA158" s="419"/>
      <c r="CB158" s="419"/>
      <c r="CC158" s="419"/>
      <c r="CD158" s="419"/>
      <c r="CE158" s="419"/>
      <c r="CF158" s="419"/>
      <c r="CG158" s="419"/>
      <c r="CH158" s="419"/>
      <c r="CI158" s="419"/>
      <c r="CJ158" s="419"/>
      <c r="CK158" s="419"/>
      <c r="CL158" s="419"/>
      <c r="CM158" s="419"/>
      <c r="CN158" s="419"/>
      <c r="CO158" s="419"/>
      <c r="CP158" s="419"/>
      <c r="CQ158" s="419"/>
      <c r="CR158" s="419"/>
      <c r="CS158" s="419"/>
      <c r="CT158" s="419"/>
      <c r="CU158" s="419"/>
      <c r="CV158" s="419"/>
      <c r="CW158" s="419"/>
      <c r="CX158" s="419"/>
      <c r="CY158" s="419"/>
      <c r="CZ158" s="419"/>
      <c r="DA158" s="419"/>
      <c r="DB158" s="419"/>
      <c r="DC158" s="419"/>
      <c r="DD158" s="419"/>
      <c r="DE158" s="419"/>
      <c r="DF158" s="419"/>
      <c r="DG158" s="419"/>
      <c r="DH158" s="419"/>
      <c r="DI158" s="419"/>
      <c r="DJ158" s="419"/>
      <c r="DK158" s="419"/>
      <c r="DL158" s="419"/>
      <c r="DM158" s="419"/>
      <c r="DN158" s="419"/>
      <c r="DO158" s="419"/>
      <c r="DP158" s="419"/>
      <c r="DQ158" s="419"/>
      <c r="DR158" s="419"/>
      <c r="DS158" s="419"/>
      <c r="DT158" s="419"/>
      <c r="DU158" s="419"/>
      <c r="DV158" s="419"/>
      <c r="DW158" s="419"/>
      <c r="DX158" s="419"/>
      <c r="DY158" s="419"/>
      <c r="DZ158" s="419"/>
      <c r="EA158" s="419"/>
      <c r="EB158" s="419"/>
      <c r="EC158" s="419"/>
      <c r="ED158" s="419"/>
      <c r="EE158" s="419"/>
      <c r="EF158" s="419"/>
      <c r="EG158" s="419"/>
      <c r="EH158" s="419"/>
      <c r="EI158" s="419"/>
      <c r="EJ158" s="419"/>
      <c r="EK158" s="419"/>
      <c r="EL158" s="419"/>
      <c r="EM158" s="419"/>
      <c r="EN158" s="419"/>
      <c r="EO158" s="419"/>
      <c r="EP158" s="419"/>
      <c r="EQ158" s="419"/>
      <c r="ER158" s="419"/>
      <c r="ES158" s="419"/>
      <c r="ET158" s="419"/>
      <c r="EU158" s="419"/>
      <c r="EV158" s="419"/>
      <c r="EW158" s="419"/>
      <c r="EX158" s="419"/>
      <c r="EY158" s="419"/>
      <c r="EZ158" s="419"/>
      <c r="FA158" s="419"/>
      <c r="FB158" s="419"/>
      <c r="FC158" s="419"/>
      <c r="FD158" s="419"/>
      <c r="FE158" s="419"/>
      <c r="FF158" s="419"/>
      <c r="FG158" s="419"/>
      <c r="FH158" s="419"/>
      <c r="FI158" s="419"/>
      <c r="FJ158" s="419"/>
      <c r="FK158" s="419"/>
      <c r="FL158" s="419"/>
      <c r="FM158" s="419"/>
      <c r="FN158" s="419"/>
      <c r="FO158" s="419"/>
      <c r="FP158" s="419"/>
      <c r="FQ158" s="419"/>
      <c r="FR158" s="419"/>
      <c r="FS158" s="419"/>
      <c r="FT158" s="419"/>
      <c r="FU158" s="419"/>
      <c r="FV158" s="419"/>
      <c r="FW158" s="419"/>
      <c r="FX158" s="419"/>
      <c r="FY158" s="419"/>
      <c r="FZ158" s="419"/>
      <c r="GA158" s="419"/>
      <c r="GB158" s="419"/>
      <c r="GC158" s="419"/>
      <c r="GD158" s="419"/>
      <c r="GE158" s="419"/>
      <c r="GF158" s="419"/>
      <c r="GG158" s="419"/>
      <c r="GH158" s="419"/>
      <c r="GI158" s="419"/>
      <c r="GJ158" s="419"/>
      <c r="GK158" s="419"/>
      <c r="GL158" s="419"/>
      <c r="GM158" s="419"/>
      <c r="GN158" s="419"/>
      <c r="GO158" s="419"/>
      <c r="GP158" s="419"/>
      <c r="GQ158" s="419"/>
      <c r="GR158" s="419"/>
      <c r="GS158" s="419"/>
      <c r="GT158" s="419"/>
      <c r="GU158" s="419"/>
      <c r="GV158" s="419"/>
      <c r="GW158" s="419"/>
      <c r="GX158" s="419"/>
      <c r="GY158" s="419"/>
      <c r="GZ158" s="419"/>
      <c r="HA158" s="419"/>
      <c r="HB158" s="419"/>
      <c r="HC158" s="419"/>
      <c r="HD158" s="419"/>
      <c r="HE158" s="419"/>
      <c r="HF158" s="419"/>
      <c r="HG158" s="419"/>
      <c r="HH158" s="419"/>
      <c r="HI158" s="419"/>
      <c r="HJ158" s="419"/>
      <c r="HK158" s="419"/>
      <c r="HL158" s="419"/>
      <c r="HM158" s="419"/>
      <c r="HN158" s="419"/>
      <c r="HO158" s="419"/>
      <c r="HP158" s="419"/>
      <c r="HQ158" s="419"/>
      <c r="HR158" s="419"/>
      <c r="HS158" s="419"/>
      <c r="HT158" s="419"/>
      <c r="HU158" s="419"/>
      <c r="HV158" s="419"/>
      <c r="HW158" s="419"/>
      <c r="HX158" s="419"/>
      <c r="HY158" s="419"/>
      <c r="HZ158" s="419"/>
      <c r="IA158" s="419"/>
      <c r="IB158" s="419"/>
      <c r="IC158" s="419"/>
      <c r="ID158" s="419"/>
      <c r="IE158" s="419"/>
      <c r="IF158" s="419"/>
      <c r="IG158" s="419"/>
      <c r="IH158" s="419"/>
      <c r="II158" s="419"/>
      <c r="IJ158" s="419"/>
      <c r="IK158" s="419"/>
      <c r="IL158" s="419"/>
      <c r="IM158" s="419"/>
      <c r="IN158" s="419"/>
      <c r="IO158" s="419"/>
      <c r="IP158" s="419"/>
      <c r="IQ158" s="419"/>
      <c r="IR158" s="419"/>
      <c r="IS158" s="419"/>
      <c r="IT158" s="419"/>
      <c r="IU158" s="419"/>
      <c r="IV158" s="419"/>
    </row>
    <row r="159" spans="1:256" s="495" customFormat="1" x14ac:dyDescent="0.3">
      <c r="A159" s="427"/>
      <c r="B159" s="428" t="s">
        <v>207</v>
      </c>
      <c r="C159" s="428"/>
      <c r="D159" s="428"/>
      <c r="E159" s="428"/>
      <c r="F159" s="428"/>
      <c r="G159" s="428"/>
      <c r="H159" s="428"/>
      <c r="I159" s="428"/>
      <c r="J159" s="428"/>
      <c r="K159" s="428"/>
      <c r="L159" s="428"/>
      <c r="M159" s="428"/>
      <c r="N159" s="470">
        <v>1</v>
      </c>
      <c r="O159" s="430"/>
      <c r="P159" s="418"/>
      <c r="Q159" s="419"/>
      <c r="R159" s="419"/>
      <c r="S159" s="419"/>
      <c r="T159" s="419"/>
      <c r="U159" s="419"/>
      <c r="V159" s="419"/>
      <c r="W159" s="419"/>
      <c r="X159" s="419"/>
      <c r="Y159" s="419"/>
      <c r="Z159" s="419"/>
      <c r="AA159" s="419"/>
      <c r="AB159" s="419"/>
      <c r="AC159" s="419"/>
      <c r="AD159" s="419"/>
      <c r="AE159" s="419"/>
      <c r="AF159" s="419"/>
      <c r="AG159" s="419"/>
      <c r="AH159" s="419"/>
      <c r="AI159" s="419"/>
      <c r="AJ159" s="419"/>
      <c r="AK159" s="419"/>
      <c r="AL159" s="419"/>
      <c r="AM159" s="419"/>
      <c r="AN159" s="419"/>
      <c r="AO159" s="419"/>
      <c r="AP159" s="419"/>
      <c r="AQ159" s="419"/>
      <c r="AR159" s="419"/>
      <c r="AS159" s="419"/>
      <c r="AT159" s="419"/>
      <c r="AU159" s="419"/>
      <c r="AV159" s="419"/>
      <c r="AW159" s="419"/>
      <c r="AX159" s="419"/>
      <c r="AY159" s="419"/>
      <c r="AZ159" s="419"/>
      <c r="BA159" s="419"/>
      <c r="BB159" s="419"/>
      <c r="BC159" s="419"/>
      <c r="BD159" s="419"/>
      <c r="BE159" s="419"/>
      <c r="BF159" s="419"/>
      <c r="BG159" s="419"/>
      <c r="BH159" s="419"/>
      <c r="BI159" s="419"/>
      <c r="BJ159" s="419"/>
      <c r="BK159" s="419"/>
      <c r="BL159" s="419"/>
      <c r="BM159" s="419"/>
      <c r="BN159" s="419"/>
      <c r="BO159" s="419"/>
      <c r="BP159" s="419"/>
      <c r="BQ159" s="419"/>
      <c r="BR159" s="419"/>
      <c r="BS159" s="419"/>
      <c r="BT159" s="419"/>
      <c r="BU159" s="419"/>
      <c r="BV159" s="419"/>
      <c r="BW159" s="419"/>
      <c r="BX159" s="419"/>
      <c r="BY159" s="419"/>
      <c r="BZ159" s="419"/>
      <c r="CA159" s="419"/>
      <c r="CB159" s="419"/>
      <c r="CC159" s="419"/>
      <c r="CD159" s="419"/>
      <c r="CE159" s="419"/>
      <c r="CF159" s="419"/>
      <c r="CG159" s="419"/>
      <c r="CH159" s="419"/>
      <c r="CI159" s="419"/>
      <c r="CJ159" s="419"/>
      <c r="CK159" s="419"/>
      <c r="CL159" s="419"/>
      <c r="CM159" s="419"/>
      <c r="CN159" s="419"/>
      <c r="CO159" s="419"/>
      <c r="CP159" s="419"/>
      <c r="CQ159" s="419"/>
      <c r="CR159" s="419"/>
      <c r="CS159" s="419"/>
      <c r="CT159" s="419"/>
      <c r="CU159" s="419"/>
      <c r="CV159" s="419"/>
      <c r="CW159" s="419"/>
      <c r="CX159" s="419"/>
      <c r="CY159" s="419"/>
      <c r="CZ159" s="419"/>
      <c r="DA159" s="419"/>
      <c r="DB159" s="419"/>
      <c r="DC159" s="419"/>
      <c r="DD159" s="419"/>
      <c r="DE159" s="419"/>
      <c r="DF159" s="419"/>
      <c r="DG159" s="419"/>
      <c r="DH159" s="419"/>
      <c r="DI159" s="419"/>
      <c r="DJ159" s="419"/>
      <c r="DK159" s="419"/>
      <c r="DL159" s="419"/>
      <c r="DM159" s="419"/>
      <c r="DN159" s="419"/>
      <c r="DO159" s="419"/>
      <c r="DP159" s="419"/>
      <c r="DQ159" s="419"/>
      <c r="DR159" s="419"/>
      <c r="DS159" s="419"/>
      <c r="DT159" s="419"/>
      <c r="DU159" s="419"/>
      <c r="DV159" s="419"/>
      <c r="DW159" s="419"/>
      <c r="DX159" s="419"/>
      <c r="DY159" s="419"/>
      <c r="DZ159" s="419"/>
      <c r="EA159" s="419"/>
      <c r="EB159" s="419"/>
      <c r="EC159" s="419"/>
      <c r="ED159" s="419"/>
      <c r="EE159" s="419"/>
      <c r="EF159" s="419"/>
      <c r="EG159" s="419"/>
      <c r="EH159" s="419"/>
      <c r="EI159" s="419"/>
      <c r="EJ159" s="419"/>
      <c r="EK159" s="419"/>
      <c r="EL159" s="419"/>
      <c r="EM159" s="419"/>
      <c r="EN159" s="419"/>
      <c r="EO159" s="419"/>
      <c r="EP159" s="419"/>
      <c r="EQ159" s="419"/>
      <c r="ER159" s="419"/>
      <c r="ES159" s="419"/>
      <c r="ET159" s="419"/>
      <c r="EU159" s="419"/>
      <c r="EV159" s="419"/>
      <c r="EW159" s="419"/>
      <c r="EX159" s="419"/>
      <c r="EY159" s="419"/>
      <c r="EZ159" s="419"/>
      <c r="FA159" s="419"/>
      <c r="FB159" s="419"/>
      <c r="FC159" s="419"/>
      <c r="FD159" s="419"/>
      <c r="FE159" s="419"/>
      <c r="FF159" s="419"/>
      <c r="FG159" s="419"/>
      <c r="FH159" s="419"/>
      <c r="FI159" s="419"/>
      <c r="FJ159" s="419"/>
      <c r="FK159" s="419"/>
      <c r="FL159" s="419"/>
      <c r="FM159" s="419"/>
      <c r="FN159" s="419"/>
      <c r="FO159" s="419"/>
      <c r="FP159" s="419"/>
      <c r="FQ159" s="419"/>
      <c r="FR159" s="419"/>
      <c r="FS159" s="419"/>
      <c r="FT159" s="419"/>
      <c r="FU159" s="419"/>
      <c r="FV159" s="419"/>
      <c r="FW159" s="419"/>
      <c r="FX159" s="419"/>
      <c r="FY159" s="419"/>
      <c r="FZ159" s="419"/>
      <c r="GA159" s="419"/>
      <c r="GB159" s="419"/>
      <c r="GC159" s="419"/>
      <c r="GD159" s="419"/>
      <c r="GE159" s="419"/>
      <c r="GF159" s="419"/>
      <c r="GG159" s="419"/>
      <c r="GH159" s="419"/>
      <c r="GI159" s="419"/>
      <c r="GJ159" s="419"/>
      <c r="GK159" s="419"/>
      <c r="GL159" s="419"/>
      <c r="GM159" s="419"/>
      <c r="GN159" s="419"/>
      <c r="GO159" s="419"/>
      <c r="GP159" s="419"/>
      <c r="GQ159" s="419"/>
      <c r="GR159" s="419"/>
      <c r="GS159" s="419"/>
      <c r="GT159" s="419"/>
      <c r="GU159" s="419"/>
      <c r="GV159" s="419"/>
      <c r="GW159" s="419"/>
      <c r="GX159" s="419"/>
      <c r="GY159" s="419"/>
      <c r="GZ159" s="419"/>
      <c r="HA159" s="419"/>
      <c r="HB159" s="419"/>
      <c r="HC159" s="419"/>
      <c r="HD159" s="419"/>
      <c r="HE159" s="419"/>
      <c r="HF159" s="419"/>
      <c r="HG159" s="419"/>
      <c r="HH159" s="419"/>
      <c r="HI159" s="419"/>
      <c r="HJ159" s="419"/>
      <c r="HK159" s="419"/>
      <c r="HL159" s="419"/>
      <c r="HM159" s="419"/>
      <c r="HN159" s="419"/>
      <c r="HO159" s="419"/>
      <c r="HP159" s="419"/>
      <c r="HQ159" s="419"/>
      <c r="HR159" s="419"/>
      <c r="HS159" s="419"/>
      <c r="HT159" s="419"/>
      <c r="HU159" s="419"/>
      <c r="HV159" s="419"/>
      <c r="HW159" s="419"/>
      <c r="HX159" s="419"/>
      <c r="HY159" s="419"/>
      <c r="HZ159" s="419"/>
      <c r="IA159" s="419"/>
      <c r="IB159" s="419"/>
      <c r="IC159" s="419"/>
      <c r="ID159" s="419"/>
      <c r="IE159" s="419"/>
      <c r="IF159" s="419"/>
      <c r="IG159" s="419"/>
      <c r="IH159" s="419"/>
      <c r="II159" s="419"/>
      <c r="IJ159" s="419"/>
      <c r="IK159" s="419"/>
      <c r="IL159" s="419"/>
      <c r="IM159" s="419"/>
      <c r="IN159" s="419"/>
      <c r="IO159" s="419"/>
      <c r="IP159" s="419"/>
      <c r="IQ159" s="419"/>
      <c r="IR159" s="419"/>
      <c r="IS159" s="419"/>
      <c r="IT159" s="419"/>
      <c r="IU159" s="419"/>
      <c r="IV159" s="419"/>
    </row>
    <row r="160" spans="1:256" s="496" customFormat="1" x14ac:dyDescent="0.3">
      <c r="A160" s="427"/>
      <c r="B160" s="428" t="s">
        <v>208</v>
      </c>
      <c r="C160" s="428"/>
      <c r="D160" s="428"/>
      <c r="E160" s="428"/>
      <c r="F160" s="428"/>
      <c r="G160" s="428"/>
      <c r="H160" s="428"/>
      <c r="I160" s="428"/>
      <c r="J160" s="428"/>
      <c r="K160" s="428"/>
      <c r="L160" s="428"/>
      <c r="M160" s="428"/>
      <c r="N160" s="470">
        <v>0</v>
      </c>
      <c r="O160" s="430"/>
      <c r="P160" s="418"/>
      <c r="Q160" s="419"/>
      <c r="R160" s="419"/>
      <c r="S160" s="419"/>
      <c r="T160" s="419"/>
      <c r="U160" s="419"/>
      <c r="V160" s="419"/>
      <c r="W160" s="419"/>
      <c r="X160" s="419"/>
      <c r="Y160" s="419"/>
      <c r="Z160" s="419"/>
      <c r="AA160" s="419"/>
      <c r="AB160" s="419"/>
      <c r="AC160" s="419"/>
      <c r="AD160" s="419"/>
      <c r="AE160" s="419"/>
      <c r="AF160" s="419"/>
      <c r="AG160" s="419"/>
      <c r="AH160" s="419"/>
      <c r="AI160" s="419"/>
      <c r="AJ160" s="419"/>
      <c r="AK160" s="419"/>
      <c r="AL160" s="419"/>
      <c r="AM160" s="419"/>
      <c r="AN160" s="419"/>
      <c r="AO160" s="419"/>
      <c r="AP160" s="419"/>
      <c r="AQ160" s="419"/>
      <c r="AR160" s="419"/>
      <c r="AS160" s="419"/>
      <c r="AT160" s="419"/>
      <c r="AU160" s="419"/>
      <c r="AV160" s="419"/>
      <c r="AW160" s="419"/>
      <c r="AX160" s="419"/>
      <c r="AY160" s="419"/>
      <c r="AZ160" s="419"/>
      <c r="BA160" s="419"/>
      <c r="BB160" s="419"/>
      <c r="BC160" s="419"/>
      <c r="BD160" s="419"/>
      <c r="BE160" s="419"/>
      <c r="BF160" s="419"/>
      <c r="BG160" s="419"/>
      <c r="BH160" s="419"/>
      <c r="BI160" s="419"/>
      <c r="BJ160" s="419"/>
      <c r="BK160" s="419"/>
      <c r="BL160" s="419"/>
      <c r="BM160" s="419"/>
      <c r="BN160" s="419"/>
      <c r="BO160" s="419"/>
      <c r="BP160" s="419"/>
      <c r="BQ160" s="419"/>
      <c r="BR160" s="419"/>
      <c r="BS160" s="419"/>
      <c r="BT160" s="419"/>
      <c r="BU160" s="419"/>
      <c r="BV160" s="419"/>
      <c r="BW160" s="419"/>
      <c r="BX160" s="419"/>
      <c r="BY160" s="419"/>
      <c r="BZ160" s="419"/>
      <c r="CA160" s="419"/>
      <c r="CB160" s="419"/>
      <c r="CC160" s="419"/>
      <c r="CD160" s="419"/>
      <c r="CE160" s="419"/>
      <c r="CF160" s="419"/>
      <c r="CG160" s="419"/>
      <c r="CH160" s="419"/>
      <c r="CI160" s="419"/>
      <c r="CJ160" s="419"/>
      <c r="CK160" s="419"/>
      <c r="CL160" s="419"/>
      <c r="CM160" s="419"/>
      <c r="CN160" s="419"/>
      <c r="CO160" s="419"/>
      <c r="CP160" s="419"/>
      <c r="CQ160" s="419"/>
      <c r="CR160" s="419"/>
      <c r="CS160" s="419"/>
      <c r="CT160" s="419"/>
      <c r="CU160" s="419"/>
      <c r="CV160" s="419"/>
      <c r="CW160" s="419"/>
      <c r="CX160" s="419"/>
      <c r="CY160" s="419"/>
      <c r="CZ160" s="419"/>
      <c r="DA160" s="419"/>
      <c r="DB160" s="419"/>
      <c r="DC160" s="419"/>
      <c r="DD160" s="419"/>
      <c r="DE160" s="419"/>
      <c r="DF160" s="419"/>
      <c r="DG160" s="419"/>
      <c r="DH160" s="419"/>
      <c r="DI160" s="419"/>
      <c r="DJ160" s="419"/>
      <c r="DK160" s="419"/>
      <c r="DL160" s="419"/>
      <c r="DM160" s="419"/>
      <c r="DN160" s="419"/>
      <c r="DO160" s="419"/>
      <c r="DP160" s="419"/>
      <c r="DQ160" s="419"/>
      <c r="DR160" s="419"/>
      <c r="DS160" s="419"/>
      <c r="DT160" s="419"/>
      <c r="DU160" s="419"/>
      <c r="DV160" s="419"/>
      <c r="DW160" s="419"/>
      <c r="DX160" s="419"/>
      <c r="DY160" s="419"/>
      <c r="DZ160" s="419"/>
      <c r="EA160" s="419"/>
      <c r="EB160" s="419"/>
      <c r="EC160" s="419"/>
      <c r="ED160" s="419"/>
      <c r="EE160" s="419"/>
      <c r="EF160" s="419"/>
      <c r="EG160" s="419"/>
      <c r="EH160" s="419"/>
      <c r="EI160" s="419"/>
      <c r="EJ160" s="419"/>
      <c r="EK160" s="419"/>
      <c r="EL160" s="419"/>
      <c r="EM160" s="419"/>
      <c r="EN160" s="419"/>
      <c r="EO160" s="419"/>
      <c r="EP160" s="419"/>
      <c r="EQ160" s="419"/>
      <c r="ER160" s="419"/>
      <c r="ES160" s="419"/>
      <c r="ET160" s="419"/>
      <c r="EU160" s="419"/>
      <c r="EV160" s="419"/>
      <c r="EW160" s="419"/>
      <c r="EX160" s="419"/>
      <c r="EY160" s="419"/>
      <c r="EZ160" s="419"/>
      <c r="FA160" s="419"/>
      <c r="FB160" s="419"/>
      <c r="FC160" s="419"/>
      <c r="FD160" s="419"/>
      <c r="FE160" s="419"/>
      <c r="FF160" s="419"/>
      <c r="FG160" s="419"/>
      <c r="FH160" s="419"/>
      <c r="FI160" s="419"/>
      <c r="FJ160" s="419"/>
      <c r="FK160" s="419"/>
      <c r="FL160" s="419"/>
      <c r="FM160" s="419"/>
      <c r="FN160" s="419"/>
      <c r="FO160" s="419"/>
      <c r="FP160" s="419"/>
      <c r="FQ160" s="419"/>
      <c r="FR160" s="419"/>
      <c r="FS160" s="419"/>
      <c r="FT160" s="419"/>
      <c r="FU160" s="419"/>
      <c r="FV160" s="419"/>
      <c r="FW160" s="419"/>
      <c r="FX160" s="419"/>
      <c r="FY160" s="419"/>
      <c r="FZ160" s="419"/>
      <c r="GA160" s="419"/>
      <c r="GB160" s="419"/>
      <c r="GC160" s="419"/>
      <c r="GD160" s="419"/>
      <c r="GE160" s="419"/>
      <c r="GF160" s="419"/>
      <c r="GG160" s="419"/>
      <c r="GH160" s="419"/>
      <c r="GI160" s="419"/>
      <c r="GJ160" s="419"/>
      <c r="GK160" s="419"/>
      <c r="GL160" s="419"/>
      <c r="GM160" s="419"/>
      <c r="GN160" s="419"/>
      <c r="GO160" s="419"/>
      <c r="GP160" s="419"/>
      <c r="GQ160" s="419"/>
      <c r="GR160" s="419"/>
      <c r="GS160" s="419"/>
      <c r="GT160" s="419"/>
      <c r="GU160" s="419"/>
      <c r="GV160" s="419"/>
      <c r="GW160" s="419"/>
      <c r="GX160" s="419"/>
      <c r="GY160" s="419"/>
      <c r="GZ160" s="419"/>
      <c r="HA160" s="419"/>
      <c r="HB160" s="419"/>
      <c r="HC160" s="419"/>
      <c r="HD160" s="419"/>
      <c r="HE160" s="419"/>
      <c r="HF160" s="419"/>
      <c r="HG160" s="419"/>
      <c r="HH160" s="419"/>
      <c r="HI160" s="419"/>
      <c r="HJ160" s="419"/>
      <c r="HK160" s="419"/>
      <c r="HL160" s="419"/>
      <c r="HM160" s="419"/>
      <c r="HN160" s="419"/>
      <c r="HO160" s="419"/>
      <c r="HP160" s="419"/>
      <c r="HQ160" s="419"/>
      <c r="HR160" s="419"/>
      <c r="HS160" s="419"/>
      <c r="HT160" s="419"/>
      <c r="HU160" s="419"/>
      <c r="HV160" s="419"/>
      <c r="HW160" s="419"/>
      <c r="HX160" s="419"/>
      <c r="HY160" s="419"/>
      <c r="HZ160" s="419"/>
      <c r="IA160" s="419"/>
      <c r="IB160" s="419"/>
      <c r="IC160" s="419"/>
      <c r="ID160" s="419"/>
      <c r="IE160" s="419"/>
      <c r="IF160" s="419"/>
      <c r="IG160" s="419"/>
      <c r="IH160" s="419"/>
      <c r="II160" s="419"/>
      <c r="IJ160" s="419"/>
      <c r="IK160" s="419"/>
      <c r="IL160" s="419"/>
      <c r="IM160" s="419"/>
      <c r="IN160" s="419"/>
      <c r="IO160" s="419"/>
      <c r="IP160" s="419"/>
      <c r="IQ160" s="419"/>
      <c r="IR160" s="419"/>
      <c r="IS160" s="419"/>
      <c r="IT160" s="419"/>
      <c r="IU160" s="419"/>
      <c r="IV160" s="419"/>
    </row>
    <row r="161" spans="1:256" s="497" customFormat="1" x14ac:dyDescent="0.3">
      <c r="A161" s="427"/>
      <c r="B161" s="428" t="s">
        <v>217</v>
      </c>
      <c r="C161" s="428"/>
      <c r="D161" s="428"/>
      <c r="E161" s="428"/>
      <c r="F161" s="428"/>
      <c r="G161" s="428"/>
      <c r="H161" s="428"/>
      <c r="I161" s="428"/>
      <c r="J161" s="428"/>
      <c r="K161" s="428"/>
      <c r="L161" s="428"/>
      <c r="M161" s="428"/>
      <c r="N161" s="470">
        <f>N158-N159-N160</f>
        <v>36</v>
      </c>
      <c r="O161" s="430"/>
      <c r="P161" s="418"/>
      <c r="Q161" s="419"/>
      <c r="R161" s="419"/>
      <c r="S161" s="419"/>
      <c r="T161" s="419"/>
      <c r="U161" s="419"/>
      <c r="V161" s="419"/>
      <c r="W161" s="419"/>
      <c r="X161" s="419"/>
      <c r="Y161" s="419"/>
      <c r="Z161" s="419"/>
      <c r="AA161" s="419"/>
      <c r="AB161" s="419"/>
      <c r="AC161" s="419"/>
      <c r="AD161" s="419"/>
      <c r="AE161" s="419"/>
      <c r="AF161" s="419"/>
      <c r="AG161" s="419"/>
      <c r="AH161" s="419"/>
      <c r="AI161" s="419"/>
      <c r="AJ161" s="419"/>
      <c r="AK161" s="419"/>
      <c r="AL161" s="419"/>
      <c r="AM161" s="419"/>
      <c r="AN161" s="419"/>
      <c r="AO161" s="419"/>
      <c r="AP161" s="419"/>
      <c r="AQ161" s="419"/>
      <c r="AR161" s="419"/>
      <c r="AS161" s="419"/>
      <c r="AT161" s="419"/>
      <c r="AU161" s="419"/>
      <c r="AV161" s="419"/>
      <c r="AW161" s="419"/>
      <c r="AX161" s="419"/>
      <c r="AY161" s="419"/>
      <c r="AZ161" s="419"/>
      <c r="BA161" s="419"/>
      <c r="BB161" s="419"/>
      <c r="BC161" s="419"/>
      <c r="BD161" s="419"/>
      <c r="BE161" s="419"/>
      <c r="BF161" s="419"/>
      <c r="BG161" s="419"/>
      <c r="BH161" s="419"/>
      <c r="BI161" s="419"/>
      <c r="BJ161" s="419"/>
      <c r="BK161" s="419"/>
      <c r="BL161" s="419"/>
      <c r="BM161" s="419"/>
      <c r="BN161" s="419"/>
      <c r="BO161" s="419"/>
      <c r="BP161" s="419"/>
      <c r="BQ161" s="419"/>
      <c r="BR161" s="419"/>
      <c r="BS161" s="419"/>
      <c r="BT161" s="419"/>
      <c r="BU161" s="419"/>
      <c r="BV161" s="419"/>
      <c r="BW161" s="419"/>
      <c r="BX161" s="419"/>
      <c r="BY161" s="419"/>
      <c r="BZ161" s="419"/>
      <c r="CA161" s="419"/>
      <c r="CB161" s="419"/>
      <c r="CC161" s="419"/>
      <c r="CD161" s="419"/>
      <c r="CE161" s="419"/>
      <c r="CF161" s="419"/>
      <c r="CG161" s="419"/>
      <c r="CH161" s="419"/>
      <c r="CI161" s="419"/>
      <c r="CJ161" s="419"/>
      <c r="CK161" s="419"/>
      <c r="CL161" s="419"/>
      <c r="CM161" s="419"/>
      <c r="CN161" s="419"/>
      <c r="CO161" s="419"/>
      <c r="CP161" s="419"/>
      <c r="CQ161" s="419"/>
      <c r="CR161" s="419"/>
      <c r="CS161" s="419"/>
      <c r="CT161" s="419"/>
      <c r="CU161" s="419"/>
      <c r="CV161" s="419"/>
      <c r="CW161" s="419"/>
      <c r="CX161" s="419"/>
      <c r="CY161" s="419"/>
      <c r="CZ161" s="419"/>
      <c r="DA161" s="419"/>
      <c r="DB161" s="419"/>
      <c r="DC161" s="419"/>
      <c r="DD161" s="419"/>
      <c r="DE161" s="419"/>
      <c r="DF161" s="419"/>
      <c r="DG161" s="419"/>
      <c r="DH161" s="419"/>
      <c r="DI161" s="419"/>
      <c r="DJ161" s="419"/>
      <c r="DK161" s="419"/>
      <c r="DL161" s="419"/>
      <c r="DM161" s="419"/>
      <c r="DN161" s="419"/>
      <c r="DO161" s="419"/>
      <c r="DP161" s="419"/>
      <c r="DQ161" s="419"/>
      <c r="DR161" s="419"/>
      <c r="DS161" s="419"/>
      <c r="DT161" s="419"/>
      <c r="DU161" s="419"/>
      <c r="DV161" s="419"/>
      <c r="DW161" s="419"/>
      <c r="DX161" s="419"/>
      <c r="DY161" s="419"/>
      <c r="DZ161" s="419"/>
      <c r="EA161" s="419"/>
      <c r="EB161" s="419"/>
      <c r="EC161" s="419"/>
      <c r="ED161" s="419"/>
      <c r="EE161" s="419"/>
      <c r="EF161" s="419"/>
      <c r="EG161" s="419"/>
      <c r="EH161" s="419"/>
      <c r="EI161" s="419"/>
      <c r="EJ161" s="419"/>
      <c r="EK161" s="419"/>
      <c r="EL161" s="419"/>
      <c r="EM161" s="419"/>
      <c r="EN161" s="419"/>
      <c r="EO161" s="419"/>
      <c r="EP161" s="419"/>
      <c r="EQ161" s="419"/>
      <c r="ER161" s="419"/>
      <c r="ES161" s="419"/>
      <c r="ET161" s="419"/>
      <c r="EU161" s="419"/>
      <c r="EV161" s="419"/>
      <c r="EW161" s="419"/>
      <c r="EX161" s="419"/>
      <c r="EY161" s="419"/>
      <c r="EZ161" s="419"/>
      <c r="FA161" s="419"/>
      <c r="FB161" s="419"/>
      <c r="FC161" s="419"/>
      <c r="FD161" s="419"/>
      <c r="FE161" s="419"/>
      <c r="FF161" s="419"/>
      <c r="FG161" s="419"/>
      <c r="FH161" s="419"/>
      <c r="FI161" s="419"/>
      <c r="FJ161" s="419"/>
      <c r="FK161" s="419"/>
      <c r="FL161" s="419"/>
      <c r="FM161" s="419"/>
      <c r="FN161" s="419"/>
      <c r="FO161" s="419"/>
      <c r="FP161" s="419"/>
      <c r="FQ161" s="419"/>
      <c r="FR161" s="419"/>
      <c r="FS161" s="419"/>
      <c r="FT161" s="419"/>
      <c r="FU161" s="419"/>
      <c r="FV161" s="419"/>
      <c r="FW161" s="419"/>
      <c r="FX161" s="419"/>
      <c r="FY161" s="419"/>
      <c r="FZ161" s="419"/>
      <c r="GA161" s="419"/>
      <c r="GB161" s="419"/>
      <c r="GC161" s="419"/>
      <c r="GD161" s="419"/>
      <c r="GE161" s="419"/>
      <c r="GF161" s="419"/>
      <c r="GG161" s="419"/>
      <c r="GH161" s="419"/>
      <c r="GI161" s="419"/>
      <c r="GJ161" s="419"/>
      <c r="GK161" s="419"/>
      <c r="GL161" s="419"/>
      <c r="GM161" s="419"/>
      <c r="GN161" s="419"/>
      <c r="GO161" s="419"/>
      <c r="GP161" s="419"/>
      <c r="GQ161" s="419"/>
      <c r="GR161" s="419"/>
      <c r="GS161" s="419"/>
      <c r="GT161" s="419"/>
      <c r="GU161" s="419"/>
      <c r="GV161" s="419"/>
      <c r="GW161" s="419"/>
      <c r="GX161" s="419"/>
      <c r="GY161" s="419"/>
      <c r="GZ161" s="419"/>
      <c r="HA161" s="419"/>
      <c r="HB161" s="419"/>
      <c r="HC161" s="419"/>
      <c r="HD161" s="419"/>
      <c r="HE161" s="419"/>
      <c r="HF161" s="419"/>
      <c r="HG161" s="419"/>
      <c r="HH161" s="419"/>
      <c r="HI161" s="419"/>
      <c r="HJ161" s="419"/>
      <c r="HK161" s="419"/>
      <c r="HL161" s="419"/>
      <c r="HM161" s="419"/>
      <c r="HN161" s="419"/>
      <c r="HO161" s="419"/>
      <c r="HP161" s="419"/>
      <c r="HQ161" s="419"/>
      <c r="HR161" s="419"/>
      <c r="HS161" s="419"/>
      <c r="HT161" s="419"/>
      <c r="HU161" s="419"/>
      <c r="HV161" s="419"/>
      <c r="HW161" s="419"/>
      <c r="HX161" s="419"/>
      <c r="HY161" s="419"/>
      <c r="HZ161" s="419"/>
      <c r="IA161" s="419"/>
      <c r="IB161" s="419"/>
      <c r="IC161" s="419"/>
      <c r="ID161" s="419"/>
      <c r="IE161" s="419"/>
      <c r="IF161" s="419"/>
      <c r="IG161" s="419"/>
      <c r="IH161" s="419"/>
      <c r="II161" s="419"/>
      <c r="IJ161" s="419"/>
      <c r="IK161" s="419"/>
      <c r="IL161" s="419"/>
      <c r="IM161" s="419"/>
      <c r="IN161" s="419"/>
      <c r="IO161" s="419"/>
      <c r="IP161" s="419"/>
      <c r="IQ161" s="419"/>
      <c r="IR161" s="419"/>
      <c r="IS161" s="419"/>
      <c r="IT161" s="419"/>
      <c r="IU161" s="419"/>
      <c r="IV161" s="419"/>
    </row>
    <row r="162" spans="1:256" s="499" customFormat="1" ht="16.2" thickBot="1" x14ac:dyDescent="0.35">
      <c r="A162" s="404"/>
      <c r="B162" s="476"/>
      <c r="C162" s="476"/>
      <c r="D162" s="476"/>
      <c r="E162" s="476"/>
      <c r="F162" s="476"/>
      <c r="G162" s="476"/>
      <c r="H162" s="476"/>
      <c r="I162" s="476"/>
      <c r="J162" s="476"/>
      <c r="K162" s="476"/>
      <c r="L162" s="476"/>
      <c r="M162" s="476"/>
      <c r="N162" s="498"/>
      <c r="O162" s="476"/>
      <c r="P162" s="402"/>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c r="BT162" s="403"/>
      <c r="BU162" s="403"/>
      <c r="BV162" s="403"/>
      <c r="BW162" s="403"/>
      <c r="BX162" s="403"/>
      <c r="BY162" s="403"/>
      <c r="BZ162" s="403"/>
      <c r="CA162" s="403"/>
      <c r="CB162" s="403"/>
      <c r="CC162" s="403"/>
      <c r="CD162" s="403"/>
      <c r="CE162" s="403"/>
      <c r="CF162" s="403"/>
      <c r="CG162" s="403"/>
      <c r="CH162" s="403"/>
      <c r="CI162" s="403"/>
      <c r="CJ162" s="403"/>
      <c r="CK162" s="403"/>
      <c r="CL162" s="403"/>
      <c r="CM162" s="403"/>
      <c r="CN162" s="403"/>
      <c r="CO162" s="403"/>
      <c r="CP162" s="403"/>
      <c r="CQ162" s="403"/>
      <c r="CR162" s="403"/>
      <c r="CS162" s="403"/>
      <c r="CT162" s="403"/>
      <c r="CU162" s="403"/>
      <c r="CV162" s="403"/>
      <c r="CW162" s="403"/>
      <c r="CX162" s="403"/>
      <c r="CY162" s="403"/>
      <c r="CZ162" s="403"/>
      <c r="DA162" s="403"/>
      <c r="DB162" s="403"/>
      <c r="DC162" s="403"/>
      <c r="DD162" s="403"/>
      <c r="DE162" s="403"/>
      <c r="DF162" s="403"/>
      <c r="DG162" s="403"/>
      <c r="DH162" s="403"/>
      <c r="DI162" s="403"/>
      <c r="DJ162" s="403"/>
      <c r="DK162" s="403"/>
      <c r="DL162" s="403"/>
      <c r="DM162" s="403"/>
      <c r="DN162" s="403"/>
      <c r="DO162" s="403"/>
      <c r="DP162" s="403"/>
      <c r="DQ162" s="403"/>
      <c r="DR162" s="403"/>
      <c r="DS162" s="403"/>
      <c r="DT162" s="403"/>
      <c r="DU162" s="403"/>
      <c r="DV162" s="403"/>
      <c r="DW162" s="403"/>
      <c r="DX162" s="403"/>
      <c r="DY162" s="403"/>
      <c r="DZ162" s="403"/>
      <c r="EA162" s="403"/>
      <c r="EB162" s="403"/>
      <c r="EC162" s="403"/>
      <c r="ED162" s="403"/>
      <c r="EE162" s="403"/>
      <c r="EF162" s="403"/>
      <c r="EG162" s="403"/>
      <c r="EH162" s="403"/>
      <c r="EI162" s="403"/>
      <c r="EJ162" s="403"/>
      <c r="EK162" s="403"/>
      <c r="EL162" s="403"/>
      <c r="EM162" s="403"/>
      <c r="EN162" s="403"/>
      <c r="EO162" s="403"/>
      <c r="EP162" s="403"/>
      <c r="EQ162" s="403"/>
      <c r="ER162" s="403"/>
      <c r="ES162" s="403"/>
      <c r="ET162" s="403"/>
      <c r="EU162" s="403"/>
      <c r="EV162" s="403"/>
      <c r="EW162" s="403"/>
      <c r="EX162" s="403"/>
      <c r="EY162" s="403"/>
      <c r="EZ162" s="403"/>
      <c r="FA162" s="403"/>
      <c r="FB162" s="403"/>
      <c r="FC162" s="403"/>
      <c r="FD162" s="403"/>
      <c r="FE162" s="403"/>
      <c r="FF162" s="403"/>
      <c r="FG162" s="403"/>
      <c r="FH162" s="403"/>
      <c r="FI162" s="403"/>
      <c r="FJ162" s="403"/>
      <c r="FK162" s="403"/>
      <c r="FL162" s="403"/>
      <c r="FM162" s="403"/>
      <c r="FN162" s="403"/>
      <c r="FO162" s="403"/>
      <c r="FP162" s="403"/>
      <c r="FQ162" s="403"/>
      <c r="FR162" s="403"/>
      <c r="FS162" s="403"/>
      <c r="FT162" s="403"/>
      <c r="FU162" s="403"/>
      <c r="FV162" s="403"/>
      <c r="FW162" s="403"/>
      <c r="FX162" s="403"/>
      <c r="FY162" s="403"/>
      <c r="FZ162" s="403"/>
      <c r="GA162" s="403"/>
      <c r="GB162" s="403"/>
      <c r="GC162" s="403"/>
      <c r="GD162" s="403"/>
      <c r="GE162" s="403"/>
      <c r="GF162" s="403"/>
      <c r="GG162" s="403"/>
      <c r="GH162" s="403"/>
      <c r="GI162" s="403"/>
      <c r="GJ162" s="403"/>
      <c r="GK162" s="403"/>
      <c r="GL162" s="403"/>
      <c r="GM162" s="403"/>
      <c r="GN162" s="403"/>
      <c r="GO162" s="403"/>
      <c r="GP162" s="403"/>
      <c r="GQ162" s="403"/>
      <c r="GR162" s="403"/>
      <c r="GS162" s="403"/>
      <c r="GT162" s="403"/>
      <c r="GU162" s="403"/>
      <c r="GV162" s="403"/>
      <c r="GW162" s="403"/>
      <c r="GX162" s="403"/>
      <c r="GY162" s="403"/>
      <c r="GZ162" s="403"/>
      <c r="HA162" s="403"/>
      <c r="HB162" s="403"/>
      <c r="HC162" s="403"/>
      <c r="HD162" s="403"/>
      <c r="HE162" s="403"/>
      <c r="HF162" s="403"/>
      <c r="HG162" s="403"/>
      <c r="HH162" s="403"/>
      <c r="HI162" s="403"/>
      <c r="HJ162" s="403"/>
      <c r="HK162" s="403"/>
      <c r="HL162" s="403"/>
      <c r="HM162" s="403"/>
      <c r="HN162" s="403"/>
      <c r="HO162" s="403"/>
      <c r="HP162" s="403"/>
      <c r="HQ162" s="403"/>
      <c r="HR162" s="403"/>
      <c r="HS162" s="403"/>
      <c r="HT162" s="403"/>
      <c r="HU162" s="403"/>
      <c r="HV162" s="403"/>
      <c r="HW162" s="403"/>
      <c r="HX162" s="403"/>
      <c r="HY162" s="403"/>
      <c r="HZ162" s="403"/>
      <c r="IA162" s="403"/>
      <c r="IB162" s="403"/>
      <c r="IC162" s="403"/>
      <c r="ID162" s="403"/>
      <c r="IE162" s="403"/>
      <c r="IF162" s="403"/>
      <c r="IG162" s="403"/>
      <c r="IH162" s="403"/>
      <c r="II162" s="403"/>
      <c r="IJ162" s="403"/>
      <c r="IK162" s="403"/>
      <c r="IL162" s="403"/>
      <c r="IM162" s="403"/>
      <c r="IN162" s="403"/>
      <c r="IO162" s="403"/>
      <c r="IP162" s="403"/>
      <c r="IQ162" s="403"/>
      <c r="IR162" s="403"/>
      <c r="IS162" s="403"/>
      <c r="IT162" s="403"/>
      <c r="IU162" s="403"/>
      <c r="IV162" s="403"/>
    </row>
    <row r="163" spans="1:256" s="504" customFormat="1" x14ac:dyDescent="0.3">
      <c r="A163" s="500"/>
      <c r="B163" s="501"/>
      <c r="C163" s="501"/>
      <c r="D163" s="501"/>
      <c r="E163" s="501"/>
      <c r="F163" s="501"/>
      <c r="G163" s="501"/>
      <c r="H163" s="501"/>
      <c r="I163" s="501"/>
      <c r="J163" s="501"/>
      <c r="K163" s="501"/>
      <c r="L163" s="501"/>
      <c r="M163" s="501"/>
      <c r="N163" s="502"/>
      <c r="O163" s="501"/>
      <c r="P163" s="503"/>
    </row>
    <row r="164" spans="1:256" s="569" customFormat="1" x14ac:dyDescent="0.3">
      <c r="A164" s="572"/>
      <c r="B164" s="578" t="s">
        <v>55</v>
      </c>
      <c r="C164" s="576"/>
      <c r="D164" s="580"/>
      <c r="E164" s="580"/>
      <c r="F164" s="580"/>
      <c r="G164" s="580"/>
      <c r="H164" s="580"/>
      <c r="I164" s="580"/>
      <c r="J164" s="580"/>
      <c r="K164" s="580" t="s">
        <v>98</v>
      </c>
      <c r="L164" s="580" t="s">
        <v>226</v>
      </c>
      <c r="M164" s="408"/>
      <c r="N164" s="581" t="s">
        <v>114</v>
      </c>
      <c r="O164" s="408"/>
      <c r="P164" s="568"/>
    </row>
    <row r="165" spans="1:256" s="419" customFormat="1" x14ac:dyDescent="0.3">
      <c r="A165" s="427"/>
      <c r="B165" s="428" t="s">
        <v>56</v>
      </c>
      <c r="C165" s="428"/>
      <c r="D165" s="428"/>
      <c r="E165" s="428"/>
      <c r="F165" s="428"/>
      <c r="G165" s="428"/>
      <c r="H165" s="428"/>
      <c r="I165" s="428"/>
      <c r="J165" s="428"/>
      <c r="K165" s="470" t="s">
        <v>117</v>
      </c>
      <c r="L165" s="449" t="s">
        <v>117</v>
      </c>
      <c r="M165" s="428"/>
      <c r="N165" s="470"/>
      <c r="O165" s="430"/>
      <c r="P165" s="418"/>
    </row>
    <row r="166" spans="1:256" s="419" customFormat="1" x14ac:dyDescent="0.3">
      <c r="A166" s="427"/>
      <c r="B166" s="428" t="s">
        <v>57</v>
      </c>
      <c r="C166" s="428"/>
      <c r="D166" s="428"/>
      <c r="E166" s="428"/>
      <c r="F166" s="428"/>
      <c r="G166" s="428"/>
      <c r="H166" s="428"/>
      <c r="I166" s="428"/>
      <c r="J166" s="428"/>
      <c r="K166" s="470">
        <v>0</v>
      </c>
      <c r="L166" s="470">
        <f>+'Nov 18'!L168</f>
        <v>19642</v>
      </c>
      <c r="M166" s="428"/>
      <c r="N166" s="470">
        <f>K166+L166</f>
        <v>19642</v>
      </c>
      <c r="O166" s="430"/>
      <c r="P166" s="418"/>
    </row>
    <row r="167" spans="1:256" s="419" customFormat="1" x14ac:dyDescent="0.3">
      <c r="A167" s="427"/>
      <c r="B167" s="428" t="s">
        <v>58</v>
      </c>
      <c r="C167" s="428"/>
      <c r="D167" s="428"/>
      <c r="E167" s="428"/>
      <c r="F167" s="428"/>
      <c r="G167" s="428"/>
      <c r="H167" s="428"/>
      <c r="I167" s="428"/>
      <c r="J167" s="428"/>
      <c r="K167" s="469">
        <v>0</v>
      </c>
      <c r="L167" s="469">
        <f>-L107</f>
        <v>0</v>
      </c>
      <c r="M167" s="428"/>
      <c r="N167" s="470">
        <f>K167+L167</f>
        <v>0</v>
      </c>
      <c r="O167" s="430"/>
      <c r="P167" s="418"/>
    </row>
    <row r="168" spans="1:256" s="419" customFormat="1" x14ac:dyDescent="0.3">
      <c r="A168" s="427"/>
      <c r="B168" s="428" t="s">
        <v>59</v>
      </c>
      <c r="C168" s="428"/>
      <c r="D168" s="428"/>
      <c r="E168" s="428"/>
      <c r="F168" s="428"/>
      <c r="G168" s="428"/>
      <c r="H168" s="428"/>
      <c r="I168" s="428"/>
      <c r="J168" s="428"/>
      <c r="K168" s="470">
        <f>K166+K167</f>
        <v>0</v>
      </c>
      <c r="L168" s="470">
        <f>L167+L166</f>
        <v>19642</v>
      </c>
      <c r="M168" s="428"/>
      <c r="N168" s="470">
        <f>K168+L168</f>
        <v>19642</v>
      </c>
      <c r="O168" s="430"/>
      <c r="P168" s="418"/>
    </row>
    <row r="169" spans="1:256" s="419" customFormat="1" x14ac:dyDescent="0.3">
      <c r="A169" s="427"/>
      <c r="B169" s="428" t="s">
        <v>60</v>
      </c>
      <c r="C169" s="428"/>
      <c r="D169" s="428"/>
      <c r="E169" s="428"/>
      <c r="F169" s="428"/>
      <c r="G169" s="428"/>
      <c r="H169" s="428"/>
      <c r="I169" s="428"/>
      <c r="J169" s="428"/>
      <c r="K169" s="470" t="s">
        <v>117</v>
      </c>
      <c r="L169" s="449" t="s">
        <v>117</v>
      </c>
      <c r="M169" s="428"/>
      <c r="N169" s="470"/>
      <c r="O169" s="430"/>
      <c r="P169" s="418"/>
    </row>
    <row r="170" spans="1:256" ht="16.2" thickBot="1" x14ac:dyDescent="0.35">
      <c r="A170" s="404"/>
      <c r="B170" s="471"/>
      <c r="C170" s="471"/>
      <c r="D170" s="471"/>
      <c r="E170" s="471"/>
      <c r="F170" s="471"/>
      <c r="G170" s="471"/>
      <c r="H170" s="471"/>
      <c r="I170" s="471"/>
      <c r="J170" s="471"/>
      <c r="K170" s="471"/>
      <c r="L170" s="471"/>
      <c r="M170" s="471"/>
      <c r="N170" s="488"/>
      <c r="O170" s="471"/>
      <c r="P170" s="402"/>
    </row>
    <row r="171" spans="1:256" x14ac:dyDescent="0.3">
      <c r="A171" s="399"/>
      <c r="B171" s="401"/>
      <c r="C171" s="401"/>
      <c r="D171" s="401"/>
      <c r="E171" s="401"/>
      <c r="F171" s="401"/>
      <c r="G171" s="401"/>
      <c r="H171" s="401"/>
      <c r="I171" s="401"/>
      <c r="J171" s="401"/>
      <c r="K171" s="401"/>
      <c r="L171" s="401"/>
      <c r="M171" s="401"/>
      <c r="N171" s="491"/>
      <c r="O171" s="401"/>
      <c r="P171" s="402"/>
    </row>
    <row r="172" spans="1:256" x14ac:dyDescent="0.3">
      <c r="A172" s="404"/>
      <c r="B172" s="578" t="s">
        <v>61</v>
      </c>
      <c r="C172" s="406"/>
      <c r="D172" s="406"/>
      <c r="E172" s="406"/>
      <c r="F172" s="406"/>
      <c r="G172" s="406"/>
      <c r="H172" s="406"/>
      <c r="I172" s="406"/>
      <c r="J172" s="406"/>
      <c r="K172" s="406"/>
      <c r="L172" s="406"/>
      <c r="M172" s="406"/>
      <c r="N172" s="505"/>
      <c r="O172" s="406"/>
      <c r="P172" s="402"/>
    </row>
    <row r="173" spans="1:256" s="419" customFormat="1" x14ac:dyDescent="0.3">
      <c r="A173" s="427"/>
      <c r="B173" s="428" t="s">
        <v>62</v>
      </c>
      <c r="C173" s="428"/>
      <c r="D173" s="428"/>
      <c r="E173" s="428"/>
      <c r="F173" s="428"/>
      <c r="G173" s="428"/>
      <c r="H173" s="428"/>
      <c r="I173" s="428"/>
      <c r="J173" s="428"/>
      <c r="K173" s="428"/>
      <c r="L173" s="428"/>
      <c r="M173" s="428"/>
      <c r="N173" s="489">
        <f>(N87+N89+N90+N91+N92)/-N93</f>
        <v>7.0952380952380949</v>
      </c>
      <c r="O173" s="430" t="s">
        <v>115</v>
      </c>
      <c r="P173" s="418"/>
    </row>
    <row r="174" spans="1:256" s="419" customFormat="1" x14ac:dyDescent="0.3">
      <c r="A174" s="427"/>
      <c r="B174" s="428" t="s">
        <v>63</v>
      </c>
      <c r="C174" s="428"/>
      <c r="D174" s="428"/>
      <c r="E174" s="428"/>
      <c r="F174" s="428"/>
      <c r="G174" s="428"/>
      <c r="H174" s="428"/>
      <c r="I174" s="428"/>
      <c r="J174" s="428"/>
      <c r="K174" s="428"/>
      <c r="L174" s="428"/>
      <c r="M174" s="428"/>
      <c r="N174" s="506">
        <v>2.25</v>
      </c>
      <c r="O174" s="430" t="s">
        <v>115</v>
      </c>
      <c r="P174" s="418"/>
    </row>
    <row r="175" spans="1:256" s="419" customFormat="1" x14ac:dyDescent="0.3">
      <c r="A175" s="427"/>
      <c r="B175" s="428" t="s">
        <v>64</v>
      </c>
      <c r="C175" s="428"/>
      <c r="D175" s="428"/>
      <c r="E175" s="428"/>
      <c r="F175" s="428"/>
      <c r="G175" s="428"/>
      <c r="H175" s="428"/>
      <c r="I175" s="428"/>
      <c r="J175" s="428"/>
      <c r="K175" s="428"/>
      <c r="L175" s="428"/>
      <c r="M175" s="428"/>
      <c r="N175" s="489">
        <f>(N87+N89+N90+N91+N92+N93)/-N95</f>
        <v>25.6</v>
      </c>
      <c r="O175" s="430" t="s">
        <v>115</v>
      </c>
      <c r="P175" s="418"/>
    </row>
    <row r="176" spans="1:256" s="419" customFormat="1" x14ac:dyDescent="0.3">
      <c r="A176" s="427"/>
      <c r="B176" s="428" t="s">
        <v>65</v>
      </c>
      <c r="C176" s="428"/>
      <c r="D176" s="428"/>
      <c r="E176" s="428"/>
      <c r="F176" s="428"/>
      <c r="G176" s="428"/>
      <c r="H176" s="428"/>
      <c r="I176" s="428"/>
      <c r="J176" s="428"/>
      <c r="K176" s="428"/>
      <c r="L176" s="428"/>
      <c r="M176" s="428"/>
      <c r="N176" s="506">
        <v>50.74</v>
      </c>
      <c r="O176" s="430" t="s">
        <v>115</v>
      </c>
      <c r="P176" s="418"/>
    </row>
    <row r="177" spans="1:16" s="419" customFormat="1" x14ac:dyDescent="0.3">
      <c r="A177" s="427"/>
      <c r="B177" s="428" t="s">
        <v>166</v>
      </c>
      <c r="C177" s="428"/>
      <c r="D177" s="428"/>
      <c r="E177" s="428"/>
      <c r="F177" s="428"/>
      <c r="G177" s="428"/>
      <c r="H177" s="428"/>
      <c r="I177" s="428"/>
      <c r="J177" s="428"/>
      <c r="K177" s="428"/>
      <c r="L177" s="428"/>
      <c r="M177" s="428"/>
      <c r="N177" s="489">
        <f>(N87+N89+N90+N91+N92+N93+N95)/-N96</f>
        <v>20.5</v>
      </c>
      <c r="O177" s="430" t="s">
        <v>115</v>
      </c>
      <c r="P177" s="418"/>
    </row>
    <row r="178" spans="1:16" s="419" customFormat="1" x14ac:dyDescent="0.3">
      <c r="A178" s="427"/>
      <c r="B178" s="428" t="s">
        <v>167</v>
      </c>
      <c r="C178" s="428"/>
      <c r="D178" s="428"/>
      <c r="E178" s="428"/>
      <c r="F178" s="428"/>
      <c r="G178" s="428"/>
      <c r="H178" s="428"/>
      <c r="I178" s="428"/>
      <c r="J178" s="428"/>
      <c r="K178" s="428"/>
      <c r="L178" s="428"/>
      <c r="M178" s="428"/>
      <c r="N178" s="506">
        <v>47.36</v>
      </c>
      <c r="O178" s="430" t="s">
        <v>115</v>
      </c>
      <c r="P178" s="418"/>
    </row>
    <row r="179" spans="1:16" s="419" customFormat="1" x14ac:dyDescent="0.3">
      <c r="A179" s="507"/>
      <c r="B179" s="508"/>
      <c r="C179" s="508"/>
      <c r="D179" s="508"/>
      <c r="E179" s="508"/>
      <c r="F179" s="508"/>
      <c r="G179" s="508"/>
      <c r="H179" s="508"/>
      <c r="I179" s="508"/>
      <c r="J179" s="508"/>
      <c r="K179" s="508"/>
      <c r="L179" s="508"/>
      <c r="M179" s="508"/>
      <c r="N179" s="508"/>
      <c r="O179" s="509"/>
      <c r="P179" s="418"/>
    </row>
    <row r="180" spans="1:16" s="419" customFormat="1" x14ac:dyDescent="0.3">
      <c r="A180" s="415"/>
      <c r="B180" s="458"/>
      <c r="C180" s="458"/>
      <c r="D180" s="458"/>
      <c r="E180" s="458"/>
      <c r="F180" s="458"/>
      <c r="G180" s="458"/>
      <c r="H180" s="458"/>
      <c r="I180" s="458"/>
      <c r="J180" s="458"/>
      <c r="K180" s="458"/>
      <c r="L180" s="458"/>
      <c r="M180" s="458"/>
      <c r="N180" s="458"/>
      <c r="O180" s="458"/>
      <c r="P180" s="418"/>
    </row>
    <row r="181" spans="1:16" s="419" customFormat="1" x14ac:dyDescent="0.3">
      <c r="A181" s="415"/>
      <c r="B181" s="416"/>
      <c r="C181" s="416"/>
      <c r="D181" s="416"/>
      <c r="E181" s="416"/>
      <c r="F181" s="416"/>
      <c r="G181" s="416"/>
      <c r="H181" s="416"/>
      <c r="I181" s="416"/>
      <c r="J181" s="416"/>
      <c r="K181" s="416"/>
      <c r="L181" s="416"/>
      <c r="M181" s="416"/>
      <c r="N181" s="416"/>
      <c r="O181" s="416"/>
      <c r="P181" s="418"/>
    </row>
    <row r="182" spans="1:16" s="419" customFormat="1" ht="18.600000000000001" thickBot="1" x14ac:dyDescent="0.4">
      <c r="A182" s="463"/>
      <c r="B182" s="464" t="str">
        <f>B115</f>
        <v>FF7 INVESTOR REPORT QUARTER ENDING FEBRUARY 2019</v>
      </c>
      <c r="C182" s="465"/>
      <c r="D182" s="465"/>
      <c r="E182" s="465"/>
      <c r="F182" s="465"/>
      <c r="G182" s="465"/>
      <c r="H182" s="465"/>
      <c r="I182" s="465"/>
      <c r="J182" s="465"/>
      <c r="K182" s="465"/>
      <c r="L182" s="465"/>
      <c r="M182" s="465"/>
      <c r="N182" s="465"/>
      <c r="O182" s="467"/>
      <c r="P182" s="418"/>
    </row>
    <row r="183" spans="1:16" x14ac:dyDescent="0.3">
      <c r="A183" s="603"/>
      <c r="B183" s="604" t="s">
        <v>66</v>
      </c>
      <c r="C183" s="607"/>
      <c r="D183" s="608"/>
      <c r="E183" s="608"/>
      <c r="F183" s="608"/>
      <c r="G183" s="608"/>
      <c r="H183" s="608"/>
      <c r="I183" s="608"/>
      <c r="J183" s="608"/>
      <c r="K183" s="608"/>
      <c r="L183" s="608">
        <v>43524</v>
      </c>
      <c r="M183" s="605"/>
      <c r="N183" s="605"/>
      <c r="O183" s="605"/>
      <c r="P183" s="402"/>
    </row>
    <row r="184" spans="1:16" x14ac:dyDescent="0.3">
      <c r="A184" s="510"/>
      <c r="B184" s="511"/>
      <c r="C184" s="512"/>
      <c r="D184" s="513"/>
      <c r="E184" s="513"/>
      <c r="F184" s="513"/>
      <c r="G184" s="513"/>
      <c r="H184" s="513"/>
      <c r="I184" s="513"/>
      <c r="J184" s="513"/>
      <c r="K184" s="513"/>
      <c r="L184" s="513"/>
      <c r="M184" s="478"/>
      <c r="N184" s="478"/>
      <c r="O184" s="478"/>
      <c r="P184" s="402"/>
    </row>
    <row r="185" spans="1:16" s="419" customFormat="1" x14ac:dyDescent="0.3">
      <c r="A185" s="427"/>
      <c r="B185" s="428" t="s">
        <v>67</v>
      </c>
      <c r="C185" s="514"/>
      <c r="D185" s="452"/>
      <c r="E185" s="452"/>
      <c r="F185" s="452"/>
      <c r="G185" s="452"/>
      <c r="H185" s="452"/>
      <c r="I185" s="452"/>
      <c r="J185" s="452"/>
      <c r="K185" s="452"/>
      <c r="L185" s="446">
        <v>7.2950000000000001E-2</v>
      </c>
      <c r="M185" s="428"/>
      <c r="N185" s="428"/>
      <c r="O185" s="430"/>
      <c r="P185" s="418"/>
    </row>
    <row r="186" spans="1:16" s="419" customFormat="1" x14ac:dyDescent="0.3">
      <c r="A186" s="427"/>
      <c r="B186" s="428" t="s">
        <v>213</v>
      </c>
      <c r="C186" s="514"/>
      <c r="D186" s="452"/>
      <c r="E186" s="452"/>
      <c r="F186" s="452"/>
      <c r="G186" s="452"/>
      <c r="H186" s="452"/>
      <c r="I186" s="452"/>
      <c r="J186" s="452"/>
      <c r="K186" s="452"/>
      <c r="L186" s="446">
        <v>5.79E-2</v>
      </c>
      <c r="M186" s="428"/>
      <c r="N186" s="428"/>
      <c r="O186" s="430"/>
      <c r="P186" s="418"/>
    </row>
    <row r="187" spans="1:16" s="419" customFormat="1" x14ac:dyDescent="0.3">
      <c r="A187" s="427"/>
      <c r="B187" s="428" t="s">
        <v>68</v>
      </c>
      <c r="C187" s="514"/>
      <c r="D187" s="452"/>
      <c r="E187" s="452"/>
      <c r="F187" s="452"/>
      <c r="G187" s="452"/>
      <c r="H187" s="452"/>
      <c r="I187" s="452"/>
      <c r="J187" s="452"/>
      <c r="K187" s="452"/>
      <c r="L187" s="446">
        <f>L185-L186</f>
        <v>1.5050000000000001E-2</v>
      </c>
      <c r="M187" s="428"/>
      <c r="N187" s="428"/>
      <c r="O187" s="430"/>
      <c r="P187" s="418"/>
    </row>
    <row r="188" spans="1:16" s="419" customFormat="1" x14ac:dyDescent="0.3">
      <c r="A188" s="427"/>
      <c r="B188" s="428" t="s">
        <v>69</v>
      </c>
      <c r="C188" s="514"/>
      <c r="D188" s="452"/>
      <c r="E188" s="452"/>
      <c r="F188" s="452"/>
      <c r="G188" s="452"/>
      <c r="H188" s="452"/>
      <c r="I188" s="452"/>
      <c r="J188" s="452"/>
      <c r="K188" s="452"/>
      <c r="L188" s="446">
        <v>4.4990000000000002E-2</v>
      </c>
      <c r="M188" s="428"/>
      <c r="N188" s="428"/>
      <c r="O188" s="430"/>
      <c r="P188" s="418"/>
    </row>
    <row r="189" spans="1:16" s="419" customFormat="1" x14ac:dyDescent="0.3">
      <c r="A189" s="427"/>
      <c r="B189" s="428" t="s">
        <v>212</v>
      </c>
      <c r="C189" s="514"/>
      <c r="D189" s="452"/>
      <c r="E189" s="452"/>
      <c r="F189" s="452"/>
      <c r="G189" s="452"/>
      <c r="H189" s="452"/>
      <c r="I189" s="452"/>
      <c r="J189" s="452"/>
      <c r="K189" s="452"/>
      <c r="L189" s="446">
        <f>N34</f>
        <v>1.2110243559304814E-2</v>
      </c>
      <c r="M189" s="428"/>
      <c r="N189" s="428"/>
      <c r="O189" s="430"/>
      <c r="P189" s="418"/>
    </row>
    <row r="190" spans="1:16" s="419" customFormat="1" x14ac:dyDescent="0.3">
      <c r="A190" s="427"/>
      <c r="B190" s="428" t="s">
        <v>70</v>
      </c>
      <c r="C190" s="514"/>
      <c r="D190" s="452"/>
      <c r="E190" s="452"/>
      <c r="F190" s="452"/>
      <c r="G190" s="452"/>
      <c r="H190" s="452"/>
      <c r="I190" s="452"/>
      <c r="J190" s="452"/>
      <c r="K190" s="452"/>
      <c r="L190" s="446">
        <f>L188-L189</f>
        <v>3.2879756440695185E-2</v>
      </c>
      <c r="M190" s="428"/>
      <c r="N190" s="428"/>
      <c r="O190" s="430"/>
      <c r="P190" s="418"/>
    </row>
    <row r="191" spans="1:16" s="419" customFormat="1" x14ac:dyDescent="0.3">
      <c r="A191" s="427"/>
      <c r="B191" s="428" t="s">
        <v>203</v>
      </c>
      <c r="C191" s="514"/>
      <c r="D191" s="452"/>
      <c r="E191" s="452"/>
      <c r="F191" s="452"/>
      <c r="G191" s="452"/>
      <c r="H191" s="452"/>
      <c r="I191" s="452"/>
      <c r="J191" s="452"/>
      <c r="K191" s="452"/>
      <c r="L191" s="446">
        <f>+N87/F59</f>
        <v>1.5325318895108745E-2</v>
      </c>
      <c r="M191" s="428"/>
      <c r="N191" s="428"/>
      <c r="O191" s="430"/>
      <c r="P191" s="418"/>
    </row>
    <row r="192" spans="1:16" s="419" customFormat="1" x14ac:dyDescent="0.3">
      <c r="A192" s="427"/>
      <c r="B192" s="428" t="s">
        <v>171</v>
      </c>
      <c r="C192" s="514"/>
      <c r="D192" s="452"/>
      <c r="E192" s="452"/>
      <c r="F192" s="452"/>
      <c r="G192" s="452"/>
      <c r="H192" s="452"/>
      <c r="I192" s="452"/>
      <c r="J192" s="452"/>
      <c r="K192" s="452"/>
      <c r="L192" s="515">
        <v>48823</v>
      </c>
      <c r="M192" s="428"/>
      <c r="N192" s="428"/>
      <c r="O192" s="430"/>
      <c r="P192" s="418"/>
    </row>
    <row r="193" spans="1:16" s="419" customFormat="1" x14ac:dyDescent="0.3">
      <c r="A193" s="427"/>
      <c r="B193" s="428" t="s">
        <v>172</v>
      </c>
      <c r="C193" s="514"/>
      <c r="D193" s="452"/>
      <c r="E193" s="452"/>
      <c r="F193" s="452"/>
      <c r="G193" s="452"/>
      <c r="H193" s="452"/>
      <c r="I193" s="452"/>
      <c r="J193" s="452"/>
      <c r="K193" s="452"/>
      <c r="L193" s="515">
        <v>48823</v>
      </c>
      <c r="M193" s="428"/>
      <c r="N193" s="428"/>
      <c r="O193" s="430"/>
      <c r="P193" s="418"/>
    </row>
    <row r="194" spans="1:16" s="419" customFormat="1" x14ac:dyDescent="0.3">
      <c r="A194" s="427"/>
      <c r="B194" s="428" t="s">
        <v>173</v>
      </c>
      <c r="C194" s="514"/>
      <c r="D194" s="452"/>
      <c r="E194" s="452"/>
      <c r="F194" s="452"/>
      <c r="G194" s="452"/>
      <c r="H194" s="452"/>
      <c r="I194" s="452"/>
      <c r="J194" s="452"/>
      <c r="K194" s="452"/>
      <c r="L194" s="515">
        <v>48823</v>
      </c>
      <c r="M194" s="428"/>
      <c r="N194" s="428"/>
      <c r="O194" s="430"/>
      <c r="P194" s="418"/>
    </row>
    <row r="195" spans="1:16" s="419" customFormat="1" x14ac:dyDescent="0.3">
      <c r="A195" s="427"/>
      <c r="B195" s="428" t="s">
        <v>71</v>
      </c>
      <c r="C195" s="514"/>
      <c r="D195" s="452"/>
      <c r="E195" s="452"/>
      <c r="F195" s="452"/>
      <c r="G195" s="452"/>
      <c r="H195" s="452"/>
      <c r="I195" s="452"/>
      <c r="J195" s="452"/>
      <c r="K195" s="452"/>
      <c r="L195" s="450">
        <v>9.93</v>
      </c>
      <c r="M195" s="428" t="s">
        <v>110</v>
      </c>
      <c r="N195" s="428"/>
      <c r="O195" s="430"/>
      <c r="P195" s="418"/>
    </row>
    <row r="196" spans="1:16" s="419" customFormat="1" x14ac:dyDescent="0.3">
      <c r="A196" s="427"/>
      <c r="B196" s="428" t="s">
        <v>72</v>
      </c>
      <c r="C196" s="514"/>
      <c r="D196" s="452"/>
      <c r="E196" s="452"/>
      <c r="F196" s="452"/>
      <c r="G196" s="452"/>
      <c r="H196" s="452"/>
      <c r="I196" s="452"/>
      <c r="J196" s="452"/>
      <c r="K196" s="452"/>
      <c r="L196" s="450">
        <v>4.12</v>
      </c>
      <c r="M196" s="428" t="s">
        <v>110</v>
      </c>
      <c r="N196" s="428"/>
      <c r="O196" s="430"/>
      <c r="P196" s="418"/>
    </row>
    <row r="197" spans="1:16" s="419" customFormat="1" x14ac:dyDescent="0.3">
      <c r="A197" s="427"/>
      <c r="B197" s="428" t="s">
        <v>73</v>
      </c>
      <c r="C197" s="514"/>
      <c r="D197" s="452"/>
      <c r="E197" s="452"/>
      <c r="F197" s="452"/>
      <c r="G197" s="452"/>
      <c r="H197" s="452"/>
      <c r="I197" s="452"/>
      <c r="J197" s="452"/>
      <c r="K197" s="452"/>
      <c r="L197" s="446">
        <f>+H56/F56</f>
        <v>7.4401473296500917E-2</v>
      </c>
      <c r="M197" s="428"/>
      <c r="N197" s="428"/>
      <c r="O197" s="430"/>
      <c r="P197" s="418"/>
    </row>
    <row r="198" spans="1:16" s="419" customFormat="1" x14ac:dyDescent="0.3">
      <c r="A198" s="427"/>
      <c r="B198" s="428" t="s">
        <v>74</v>
      </c>
      <c r="C198" s="514"/>
      <c r="D198" s="452"/>
      <c r="E198" s="452"/>
      <c r="F198" s="452"/>
      <c r="G198" s="452"/>
      <c r="H198" s="452"/>
      <c r="I198" s="452"/>
      <c r="J198" s="452"/>
      <c r="K198" s="452"/>
      <c r="L198" s="446">
        <v>0.2697</v>
      </c>
      <c r="M198" s="428"/>
      <c r="N198" s="428"/>
      <c r="O198" s="430"/>
      <c r="P198" s="418"/>
    </row>
    <row r="199" spans="1:16" x14ac:dyDescent="0.3">
      <c r="A199" s="510"/>
      <c r="B199" s="476"/>
      <c r="C199" s="476"/>
      <c r="D199" s="476"/>
      <c r="E199" s="476"/>
      <c r="F199" s="476"/>
      <c r="G199" s="476"/>
      <c r="H199" s="476"/>
      <c r="I199" s="476"/>
      <c r="J199" s="476"/>
      <c r="K199" s="476"/>
      <c r="L199" s="516"/>
      <c r="M199" s="476"/>
      <c r="N199" s="517"/>
      <c r="O199" s="476"/>
      <c r="P199" s="402"/>
    </row>
    <row r="200" spans="1:16" x14ac:dyDescent="0.3">
      <c r="A200" s="609"/>
      <c r="B200" s="599" t="s">
        <v>75</v>
      </c>
      <c r="C200" s="601"/>
      <c r="D200" s="601"/>
      <c r="E200" s="601"/>
      <c r="F200" s="601"/>
      <c r="G200" s="601"/>
      <c r="H200" s="601"/>
      <c r="I200" s="601"/>
      <c r="J200" s="601"/>
      <c r="K200" s="601" t="s">
        <v>99</v>
      </c>
      <c r="L200" s="615" t="s">
        <v>106</v>
      </c>
      <c r="M200" s="591"/>
      <c r="N200" s="591"/>
      <c r="O200" s="594"/>
      <c r="P200" s="402"/>
    </row>
    <row r="201" spans="1:16" s="419" customFormat="1" x14ac:dyDescent="0.3">
      <c r="A201" s="610"/>
      <c r="B201" s="588" t="s">
        <v>76</v>
      </c>
      <c r="C201" s="597"/>
      <c r="D201" s="611"/>
      <c r="E201" s="611"/>
      <c r="F201" s="611"/>
      <c r="G201" s="611"/>
      <c r="H201" s="611"/>
      <c r="I201" s="611"/>
      <c r="J201" s="611"/>
      <c r="K201" s="611">
        <v>2</v>
      </c>
      <c r="L201" s="612">
        <v>96</v>
      </c>
      <c r="M201" s="588"/>
      <c r="N201" s="613"/>
      <c r="O201" s="614"/>
      <c r="P201" s="418"/>
    </row>
    <row r="202" spans="1:16" s="419" customFormat="1" x14ac:dyDescent="0.3">
      <c r="A202" s="518"/>
      <c r="B202" s="428" t="s">
        <v>136</v>
      </c>
      <c r="C202" s="469"/>
      <c r="D202" s="434"/>
      <c r="E202" s="434"/>
      <c r="F202" s="434"/>
      <c r="G202" s="434"/>
      <c r="H202" s="434"/>
      <c r="I202" s="434"/>
      <c r="J202" s="434"/>
      <c r="K202" s="522">
        <f>+J269</f>
        <v>0</v>
      </c>
      <c r="L202" s="519">
        <f>+L269</f>
        <v>0</v>
      </c>
      <c r="M202" s="428"/>
      <c r="N202" s="520"/>
      <c r="O202" s="521"/>
      <c r="P202" s="418"/>
    </row>
    <row r="203" spans="1:16" s="419" customFormat="1" x14ac:dyDescent="0.3">
      <c r="A203" s="518"/>
      <c r="B203" s="428" t="s">
        <v>77</v>
      </c>
      <c r="C203" s="469"/>
      <c r="D203" s="434"/>
      <c r="E203" s="434"/>
      <c r="F203" s="434"/>
      <c r="G203" s="434"/>
      <c r="H203" s="434"/>
      <c r="I203" s="434"/>
      <c r="J203" s="434"/>
      <c r="K203" s="522">
        <f>+J286</f>
        <v>0</v>
      </c>
      <c r="L203" s="519">
        <f>+L286</f>
        <v>0</v>
      </c>
      <c r="M203" s="428"/>
      <c r="N203" s="520"/>
      <c r="O203" s="521"/>
      <c r="P203" s="418"/>
    </row>
    <row r="204" spans="1:16" x14ac:dyDescent="0.3">
      <c r="A204" s="523"/>
      <c r="B204" s="562" t="s">
        <v>78</v>
      </c>
      <c r="C204" s="524"/>
      <c r="D204" s="443"/>
      <c r="E204" s="443"/>
      <c r="F204" s="443"/>
      <c r="G204" s="443"/>
      <c r="H204" s="443"/>
      <c r="I204" s="443"/>
      <c r="J204" s="443"/>
      <c r="K204" s="443"/>
      <c r="L204" s="519">
        <v>0</v>
      </c>
      <c r="M204" s="443"/>
      <c r="N204" s="525"/>
      <c r="O204" s="526"/>
      <c r="P204" s="402"/>
    </row>
    <row r="205" spans="1:16" x14ac:dyDescent="0.3">
      <c r="A205" s="523"/>
      <c r="B205" s="562" t="s">
        <v>79</v>
      </c>
      <c r="C205" s="524"/>
      <c r="D205" s="443"/>
      <c r="E205" s="443"/>
      <c r="F205" s="443"/>
      <c r="G205" s="443"/>
      <c r="H205" s="443"/>
      <c r="I205" s="443"/>
      <c r="J205" s="443"/>
      <c r="K205" s="443"/>
      <c r="L205" s="527" t="s">
        <v>107</v>
      </c>
      <c r="M205" s="443"/>
      <c r="N205" s="525"/>
      <c r="O205" s="526"/>
      <c r="P205" s="402"/>
    </row>
    <row r="206" spans="1:16" x14ac:dyDescent="0.3">
      <c r="A206" s="528"/>
      <c r="B206" s="562" t="s">
        <v>80</v>
      </c>
      <c r="C206" s="529"/>
      <c r="D206" s="443"/>
      <c r="E206" s="443"/>
      <c r="F206" s="443"/>
      <c r="G206" s="443"/>
      <c r="H206" s="443"/>
      <c r="I206" s="443"/>
      <c r="J206" s="443"/>
      <c r="K206" s="443"/>
      <c r="L206" s="530"/>
      <c r="M206" s="443"/>
      <c r="N206" s="525"/>
      <c r="O206" s="531"/>
      <c r="P206" s="402"/>
    </row>
    <row r="207" spans="1:16" s="419" customFormat="1" x14ac:dyDescent="0.3">
      <c r="A207" s="532"/>
      <c r="B207" s="428" t="s">
        <v>81</v>
      </c>
      <c r="C207" s="428"/>
      <c r="D207" s="428"/>
      <c r="E207" s="428"/>
      <c r="F207" s="428"/>
      <c r="G207" s="428"/>
      <c r="H207" s="428"/>
      <c r="I207" s="428"/>
      <c r="J207" s="428"/>
      <c r="K207" s="434"/>
      <c r="L207" s="519">
        <f>N144</f>
        <v>0</v>
      </c>
      <c r="M207" s="428"/>
      <c r="N207" s="520"/>
      <c r="O207" s="533"/>
      <c r="P207" s="418"/>
    </row>
    <row r="208" spans="1:16" s="419" customFormat="1" x14ac:dyDescent="0.3">
      <c r="A208" s="518"/>
      <c r="B208" s="428" t="s">
        <v>82</v>
      </c>
      <c r="C208" s="469"/>
      <c r="D208" s="428"/>
      <c r="E208" s="428"/>
      <c r="F208" s="428"/>
      <c r="G208" s="428"/>
      <c r="H208" s="428"/>
      <c r="I208" s="428"/>
      <c r="J208" s="428"/>
      <c r="K208" s="434"/>
      <c r="L208" s="519">
        <f>'Nov 18'!L208+L207</f>
        <v>216</v>
      </c>
      <c r="M208" s="428"/>
      <c r="N208" s="520"/>
      <c r="O208" s="533"/>
      <c r="P208" s="418"/>
    </row>
    <row r="209" spans="1:17" x14ac:dyDescent="0.3">
      <c r="A209" s="528"/>
      <c r="B209" s="562" t="s">
        <v>253</v>
      </c>
      <c r="C209" s="529"/>
      <c r="D209" s="443"/>
      <c r="E209" s="443"/>
      <c r="F209" s="443"/>
      <c r="G209" s="443"/>
      <c r="H209" s="443"/>
      <c r="I209" s="443"/>
      <c r="J209" s="443"/>
      <c r="K209" s="444"/>
      <c r="L209" s="530"/>
      <c r="M209" s="443"/>
      <c r="N209" s="525"/>
      <c r="O209" s="531"/>
      <c r="P209" s="402"/>
    </row>
    <row r="210" spans="1:17" s="419" customFormat="1" x14ac:dyDescent="0.3">
      <c r="A210" s="532"/>
      <c r="B210" s="428" t="s">
        <v>250</v>
      </c>
      <c r="C210" s="428"/>
      <c r="D210" s="428"/>
      <c r="E210" s="428"/>
      <c r="F210" s="428"/>
      <c r="G210" s="428"/>
      <c r="H210" s="428"/>
      <c r="I210" s="428"/>
      <c r="J210" s="428"/>
      <c r="K210" s="434">
        <v>1</v>
      </c>
      <c r="L210" s="519">
        <v>110</v>
      </c>
      <c r="M210" s="428"/>
      <c r="N210" s="520"/>
      <c r="O210" s="533"/>
      <c r="P210" s="418"/>
    </row>
    <row r="211" spans="1:17" s="419" customFormat="1" x14ac:dyDescent="0.3">
      <c r="A211" s="518"/>
      <c r="B211" s="428" t="s">
        <v>83</v>
      </c>
      <c r="C211" s="449"/>
      <c r="D211" s="428"/>
      <c r="E211" s="428"/>
      <c r="F211" s="428"/>
      <c r="G211" s="428"/>
      <c r="H211" s="428"/>
      <c r="I211" s="428"/>
      <c r="J211" s="428"/>
      <c r="K211" s="428"/>
      <c r="L211" s="527">
        <v>17.739999999999998</v>
      </c>
      <c r="M211" s="428"/>
      <c r="N211" s="520"/>
      <c r="O211" s="533"/>
      <c r="P211" s="418"/>
    </row>
    <row r="212" spans="1:17" s="419" customFormat="1" x14ac:dyDescent="0.3">
      <c r="A212" s="518"/>
      <c r="B212" s="428" t="s">
        <v>84</v>
      </c>
      <c r="C212" s="449"/>
      <c r="D212" s="428"/>
      <c r="E212" s="428"/>
      <c r="F212" s="428"/>
      <c r="G212" s="428"/>
      <c r="H212" s="428"/>
      <c r="I212" s="428"/>
      <c r="J212" s="428"/>
      <c r="K212" s="428"/>
      <c r="L212" s="624">
        <v>7.92</v>
      </c>
      <c r="M212" s="428"/>
      <c r="N212" s="520"/>
      <c r="O212" s="533"/>
      <c r="P212" s="418"/>
    </row>
    <row r="213" spans="1:17" x14ac:dyDescent="0.3">
      <c r="A213" s="523"/>
      <c r="B213" s="562" t="s">
        <v>177</v>
      </c>
      <c r="C213" s="534"/>
      <c r="D213" s="443"/>
      <c r="E213" s="443"/>
      <c r="F213" s="443"/>
      <c r="G213" s="443"/>
      <c r="H213" s="443"/>
      <c r="I213" s="443"/>
      <c r="J213" s="443"/>
      <c r="K213" s="443"/>
      <c r="L213" s="535"/>
      <c r="M213" s="443"/>
      <c r="N213" s="525"/>
      <c r="O213" s="531"/>
      <c r="P213" s="402"/>
    </row>
    <row r="214" spans="1:17" s="419" customFormat="1" x14ac:dyDescent="0.3">
      <c r="A214" s="518"/>
      <c r="B214" s="428" t="s">
        <v>250</v>
      </c>
      <c r="C214" s="449"/>
      <c r="D214" s="428"/>
      <c r="E214" s="428"/>
      <c r="F214" s="428"/>
      <c r="G214" s="428"/>
      <c r="H214" s="428"/>
      <c r="I214" s="428"/>
      <c r="J214" s="428"/>
      <c r="K214" s="434">
        <v>0</v>
      </c>
      <c r="L214" s="519">
        <v>0</v>
      </c>
      <c r="M214" s="428"/>
      <c r="N214" s="520"/>
      <c r="O214" s="533"/>
      <c r="P214" s="418"/>
    </row>
    <row r="215" spans="1:17" s="419" customFormat="1" x14ac:dyDescent="0.3">
      <c r="A215" s="518"/>
      <c r="B215" s="428" t="s">
        <v>178</v>
      </c>
      <c r="C215" s="449"/>
      <c r="D215" s="428"/>
      <c r="E215" s="428"/>
      <c r="F215" s="428"/>
      <c r="G215" s="428"/>
      <c r="H215" s="428"/>
      <c r="I215" s="428"/>
      <c r="J215" s="428"/>
      <c r="K215" s="428"/>
      <c r="L215" s="527">
        <v>0</v>
      </c>
      <c r="M215" s="428"/>
      <c r="N215" s="520"/>
      <c r="O215" s="533"/>
      <c r="P215" s="418"/>
    </row>
    <row r="216" spans="1:17" x14ac:dyDescent="0.3">
      <c r="A216" s="523"/>
      <c r="B216" s="529"/>
      <c r="C216" s="534"/>
      <c r="D216" s="443"/>
      <c r="E216" s="443"/>
      <c r="F216" s="443"/>
      <c r="G216" s="443"/>
      <c r="H216" s="443"/>
      <c r="I216" s="443"/>
      <c r="J216" s="443"/>
      <c r="K216" s="443"/>
      <c r="L216" s="535"/>
      <c r="M216" s="443"/>
      <c r="N216" s="525"/>
      <c r="O216" s="531"/>
      <c r="P216" s="402"/>
    </row>
    <row r="217" spans="1:17" x14ac:dyDescent="0.3">
      <c r="A217" s="523"/>
      <c r="B217" s="529"/>
      <c r="C217" s="534"/>
      <c r="D217" s="443"/>
      <c r="E217" s="443"/>
      <c r="F217" s="443"/>
      <c r="G217" s="443"/>
      <c r="H217" s="443"/>
      <c r="I217" s="443"/>
      <c r="J217" s="443"/>
      <c r="K217" s="443"/>
      <c r="L217" s="535"/>
      <c r="M217" s="443"/>
      <c r="N217" s="525"/>
      <c r="O217" s="531"/>
      <c r="P217" s="402"/>
    </row>
    <row r="218" spans="1:17" ht="18" x14ac:dyDescent="0.35">
      <c r="A218" s="523"/>
      <c r="B218" s="582" t="s">
        <v>294</v>
      </c>
      <c r="C218" s="534"/>
      <c r="D218" s="443"/>
      <c r="E218" s="583"/>
      <c r="F218" s="443"/>
      <c r="G218" s="443"/>
      <c r="H218" s="536"/>
      <c r="I218" s="443"/>
      <c r="J218" s="443"/>
      <c r="K218" s="584" t="s">
        <v>293</v>
      </c>
      <c r="L218" s="535"/>
      <c r="M218" s="443"/>
      <c r="N218" s="525"/>
      <c r="O218" s="531"/>
      <c r="P218" s="402"/>
    </row>
    <row r="219" spans="1:17" ht="18" x14ac:dyDescent="0.35">
      <c r="A219" s="537"/>
      <c r="B219" s="538"/>
      <c r="C219" s="539"/>
      <c r="D219" s="471"/>
      <c r="E219" s="471"/>
      <c r="F219" s="471"/>
      <c r="G219" s="471"/>
      <c r="H219" s="540"/>
      <c r="I219" s="471"/>
      <c r="J219" s="471"/>
      <c r="K219" s="471"/>
      <c r="L219" s="541"/>
      <c r="M219" s="471"/>
      <c r="N219" s="542"/>
      <c r="O219" s="543"/>
      <c r="P219" s="402"/>
    </row>
    <row r="220" spans="1:17" x14ac:dyDescent="0.3">
      <c r="A220" s="585"/>
      <c r="B220" s="599" t="s">
        <v>258</v>
      </c>
      <c r="C220" s="601"/>
      <c r="D220" s="601"/>
      <c r="E220" s="601"/>
      <c r="F220" s="601"/>
      <c r="G220" s="601"/>
      <c r="H220" s="601"/>
      <c r="I220" s="601"/>
      <c r="J220" s="619" t="s">
        <v>99</v>
      </c>
      <c r="K220" s="601" t="s">
        <v>100</v>
      </c>
      <c r="L220" s="615" t="s">
        <v>108</v>
      </c>
      <c r="M220" s="601" t="s">
        <v>100</v>
      </c>
      <c r="N220" s="591"/>
      <c r="O220" s="620"/>
      <c r="P220" s="402"/>
    </row>
    <row r="221" spans="1:17" s="419" customFormat="1" x14ac:dyDescent="0.3">
      <c r="A221" s="587"/>
      <c r="B221" s="597" t="s">
        <v>85</v>
      </c>
      <c r="C221" s="616"/>
      <c r="D221" s="616"/>
      <c r="E221" s="616"/>
      <c r="F221" s="616"/>
      <c r="G221" s="616"/>
      <c r="H221" s="616"/>
      <c r="I221" s="616"/>
      <c r="J221" s="597">
        <f t="shared" ref="J221:J233" si="1">+J238+J255+J272</f>
        <v>288</v>
      </c>
      <c r="K221" s="617">
        <f t="shared" ref="K221:K233" si="2">J221/$J$235</f>
        <v>0.93203883495145634</v>
      </c>
      <c r="L221" s="598">
        <f t="shared" ref="L221:L233" si="3">+L238+L255+L272</f>
        <v>9262</v>
      </c>
      <c r="M221" s="617">
        <f t="shared" ref="M221:M233" si="4">L221/$L$235</f>
        <v>0.92140867489056899</v>
      </c>
      <c r="N221" s="613"/>
      <c r="O221" s="618"/>
      <c r="P221" s="418"/>
    </row>
    <row r="222" spans="1:17" s="419" customFormat="1" x14ac:dyDescent="0.3">
      <c r="A222" s="427"/>
      <c r="B222" s="469" t="s">
        <v>86</v>
      </c>
      <c r="C222" s="544"/>
      <c r="D222" s="544"/>
      <c r="E222" s="544"/>
      <c r="F222" s="544"/>
      <c r="G222" s="544"/>
      <c r="H222" s="544"/>
      <c r="I222" s="544"/>
      <c r="J222" s="469">
        <f t="shared" si="1"/>
        <v>6</v>
      </c>
      <c r="K222" s="545">
        <f t="shared" si="2"/>
        <v>1.9417475728155338E-2</v>
      </c>
      <c r="L222" s="470">
        <f t="shared" si="3"/>
        <v>269</v>
      </c>
      <c r="M222" s="545">
        <f t="shared" si="4"/>
        <v>2.6760843613211301E-2</v>
      </c>
      <c r="N222" s="520"/>
      <c r="O222" s="533"/>
      <c r="P222" s="418"/>
      <c r="Q222" s="482"/>
    </row>
    <row r="223" spans="1:17" s="419" customFormat="1" x14ac:dyDescent="0.3">
      <c r="A223" s="427"/>
      <c r="B223" s="469" t="s">
        <v>87</v>
      </c>
      <c r="C223" s="544"/>
      <c r="D223" s="544"/>
      <c r="E223" s="544"/>
      <c r="F223" s="544"/>
      <c r="G223" s="544"/>
      <c r="H223" s="544"/>
      <c r="I223" s="544"/>
      <c r="J223" s="469">
        <f t="shared" si="1"/>
        <v>3</v>
      </c>
      <c r="K223" s="545">
        <f t="shared" si="2"/>
        <v>9.7087378640776691E-3</v>
      </c>
      <c r="L223" s="470">
        <f t="shared" si="3"/>
        <v>53</v>
      </c>
      <c r="M223" s="545">
        <f t="shared" si="4"/>
        <v>5.27258257063271E-3</v>
      </c>
      <c r="N223" s="520"/>
      <c r="O223" s="533"/>
      <c r="P223" s="418"/>
    </row>
    <row r="224" spans="1:17" s="419" customFormat="1" x14ac:dyDescent="0.3">
      <c r="A224" s="427"/>
      <c r="B224" s="469" t="s">
        <v>145</v>
      </c>
      <c r="C224" s="544"/>
      <c r="D224" s="544"/>
      <c r="E224" s="544"/>
      <c r="F224" s="544"/>
      <c r="G224" s="544"/>
      <c r="H224" s="544"/>
      <c r="I224" s="544"/>
      <c r="J224" s="469">
        <f t="shared" si="1"/>
        <v>2</v>
      </c>
      <c r="K224" s="545">
        <f t="shared" si="2"/>
        <v>6.4724919093851136E-3</v>
      </c>
      <c r="L224" s="470">
        <f t="shared" si="3"/>
        <v>182</v>
      </c>
      <c r="M224" s="545">
        <f t="shared" si="4"/>
        <v>1.8105849582172703E-2</v>
      </c>
      <c r="N224" s="520"/>
      <c r="O224" s="533"/>
      <c r="P224" s="418"/>
      <c r="Q224" s="482"/>
    </row>
    <row r="225" spans="1:17" s="419" customFormat="1" x14ac:dyDescent="0.3">
      <c r="A225" s="427"/>
      <c r="B225" s="469" t="s">
        <v>146</v>
      </c>
      <c r="C225" s="544"/>
      <c r="D225" s="544"/>
      <c r="E225" s="544"/>
      <c r="F225" s="544"/>
      <c r="G225" s="544"/>
      <c r="H225" s="544"/>
      <c r="I225" s="544"/>
      <c r="J225" s="469">
        <f t="shared" si="1"/>
        <v>0</v>
      </c>
      <c r="K225" s="545">
        <f t="shared" si="2"/>
        <v>0</v>
      </c>
      <c r="L225" s="470">
        <f t="shared" si="3"/>
        <v>0</v>
      </c>
      <c r="M225" s="545">
        <f t="shared" si="4"/>
        <v>0</v>
      </c>
      <c r="N225" s="520"/>
      <c r="O225" s="533"/>
      <c r="P225" s="418"/>
    </row>
    <row r="226" spans="1:17" s="419" customFormat="1" x14ac:dyDescent="0.3">
      <c r="A226" s="427"/>
      <c r="B226" s="469" t="s">
        <v>147</v>
      </c>
      <c r="C226" s="544"/>
      <c r="D226" s="544"/>
      <c r="E226" s="544"/>
      <c r="F226" s="544"/>
      <c r="G226" s="544"/>
      <c r="H226" s="544"/>
      <c r="I226" s="544"/>
      <c r="J226" s="469">
        <f t="shared" si="1"/>
        <v>0</v>
      </c>
      <c r="K226" s="545">
        <f t="shared" si="2"/>
        <v>0</v>
      </c>
      <c r="L226" s="470">
        <f t="shared" si="3"/>
        <v>0</v>
      </c>
      <c r="M226" s="545">
        <f t="shared" si="4"/>
        <v>0</v>
      </c>
      <c r="N226" s="520"/>
      <c r="O226" s="533"/>
      <c r="P226" s="418"/>
      <c r="Q226" s="482"/>
    </row>
    <row r="227" spans="1:17" s="419" customFormat="1" x14ac:dyDescent="0.3">
      <c r="A227" s="427"/>
      <c r="B227" s="469" t="s">
        <v>227</v>
      </c>
      <c r="C227" s="544"/>
      <c r="D227" s="544"/>
      <c r="E227" s="544"/>
      <c r="F227" s="544"/>
      <c r="G227" s="544"/>
      <c r="H227" s="544"/>
      <c r="I227" s="544"/>
      <c r="J227" s="469">
        <f t="shared" si="1"/>
        <v>1</v>
      </c>
      <c r="K227" s="545">
        <f t="shared" si="2"/>
        <v>3.2362459546925568E-3</v>
      </c>
      <c r="L227" s="470">
        <f t="shared" si="3"/>
        <v>61</v>
      </c>
      <c r="M227" s="545">
        <f t="shared" si="4"/>
        <v>6.0684440907282132E-3</v>
      </c>
      <c r="N227" s="520"/>
      <c r="O227" s="533"/>
      <c r="P227" s="418"/>
    </row>
    <row r="228" spans="1:17" s="419" customFormat="1" x14ac:dyDescent="0.3">
      <c r="A228" s="427"/>
      <c r="B228" s="469" t="s">
        <v>228</v>
      </c>
      <c r="C228" s="544"/>
      <c r="D228" s="544"/>
      <c r="E228" s="544"/>
      <c r="F228" s="544"/>
      <c r="G228" s="544"/>
      <c r="H228" s="544"/>
      <c r="I228" s="544"/>
      <c r="J228" s="469">
        <f t="shared" si="1"/>
        <v>2</v>
      </c>
      <c r="K228" s="545">
        <f t="shared" si="2"/>
        <v>6.4724919093851136E-3</v>
      </c>
      <c r="L228" s="470">
        <f t="shared" si="3"/>
        <v>74</v>
      </c>
      <c r="M228" s="545">
        <f t="shared" si="4"/>
        <v>7.361719060883406E-3</v>
      </c>
      <c r="N228" s="520"/>
      <c r="O228" s="533"/>
      <c r="P228" s="418"/>
      <c r="Q228" s="482"/>
    </row>
    <row r="229" spans="1:17" s="419" customFormat="1" x14ac:dyDescent="0.3">
      <c r="A229" s="427"/>
      <c r="B229" s="469" t="s">
        <v>229</v>
      </c>
      <c r="C229" s="544"/>
      <c r="D229" s="544"/>
      <c r="E229" s="544"/>
      <c r="F229" s="544"/>
      <c r="G229" s="544"/>
      <c r="H229" s="544"/>
      <c r="I229" s="544"/>
      <c r="J229" s="469">
        <f t="shared" si="1"/>
        <v>1</v>
      </c>
      <c r="K229" s="545">
        <f t="shared" si="2"/>
        <v>3.2362459546925568E-3</v>
      </c>
      <c r="L229" s="470">
        <f t="shared" si="3"/>
        <v>9</v>
      </c>
      <c r="M229" s="545">
        <f t="shared" si="4"/>
        <v>8.9534421010744128E-4</v>
      </c>
      <c r="N229" s="520"/>
      <c r="O229" s="533"/>
      <c r="P229" s="418"/>
      <c r="Q229" s="482"/>
    </row>
    <row r="230" spans="1:17" s="419" customFormat="1" x14ac:dyDescent="0.3">
      <c r="A230" s="427"/>
      <c r="B230" s="469" t="s">
        <v>230</v>
      </c>
      <c r="C230" s="544"/>
      <c r="D230" s="544"/>
      <c r="E230" s="544"/>
      <c r="F230" s="544"/>
      <c r="G230" s="544"/>
      <c r="H230" s="544"/>
      <c r="I230" s="544"/>
      <c r="J230" s="469">
        <f t="shared" si="1"/>
        <v>1</v>
      </c>
      <c r="K230" s="545">
        <f t="shared" si="2"/>
        <v>3.2362459546925568E-3</v>
      </c>
      <c r="L230" s="470">
        <f t="shared" si="3"/>
        <v>11</v>
      </c>
      <c r="M230" s="545">
        <f t="shared" si="4"/>
        <v>1.0943095901313172E-3</v>
      </c>
      <c r="N230" s="520"/>
      <c r="O230" s="533"/>
      <c r="P230" s="418"/>
      <c r="Q230" s="482"/>
    </row>
    <row r="231" spans="1:17" s="419" customFormat="1" x14ac:dyDescent="0.3">
      <c r="A231" s="427"/>
      <c r="B231" s="469" t="s">
        <v>231</v>
      </c>
      <c r="C231" s="544"/>
      <c r="D231" s="544"/>
      <c r="E231" s="544"/>
      <c r="F231" s="544"/>
      <c r="G231" s="544"/>
      <c r="H231" s="544"/>
      <c r="I231" s="544"/>
      <c r="J231" s="469">
        <f t="shared" si="1"/>
        <v>0</v>
      </c>
      <c r="K231" s="545">
        <f t="shared" si="2"/>
        <v>0</v>
      </c>
      <c r="L231" s="470">
        <f t="shared" si="3"/>
        <v>0</v>
      </c>
      <c r="M231" s="545">
        <f t="shared" si="4"/>
        <v>0</v>
      </c>
      <c r="N231" s="520"/>
      <c r="O231" s="533"/>
      <c r="P231" s="418"/>
      <c r="Q231" s="482"/>
    </row>
    <row r="232" spans="1:17" s="419" customFormat="1" x14ac:dyDescent="0.3">
      <c r="A232" s="427"/>
      <c r="B232" s="469" t="s">
        <v>232</v>
      </c>
      <c r="C232" s="544"/>
      <c r="D232" s="544"/>
      <c r="E232" s="544"/>
      <c r="F232" s="544"/>
      <c r="G232" s="544"/>
      <c r="H232" s="544"/>
      <c r="I232" s="544"/>
      <c r="J232" s="469">
        <f t="shared" si="1"/>
        <v>0</v>
      </c>
      <c r="K232" s="545">
        <f t="shared" si="2"/>
        <v>0</v>
      </c>
      <c r="L232" s="470">
        <f t="shared" si="3"/>
        <v>0</v>
      </c>
      <c r="M232" s="545">
        <f t="shared" si="4"/>
        <v>0</v>
      </c>
      <c r="N232" s="520"/>
      <c r="O232" s="533"/>
      <c r="P232" s="418"/>
      <c r="Q232" s="482"/>
    </row>
    <row r="233" spans="1:17" s="419" customFormat="1" x14ac:dyDescent="0.3">
      <c r="A233" s="427"/>
      <c r="B233" s="469" t="s">
        <v>233</v>
      </c>
      <c r="C233" s="544"/>
      <c r="D233" s="544"/>
      <c r="E233" s="544"/>
      <c r="F233" s="544"/>
      <c r="G233" s="544"/>
      <c r="H233" s="544"/>
      <c r="I233" s="544"/>
      <c r="J233" s="469">
        <f t="shared" si="1"/>
        <v>5</v>
      </c>
      <c r="K233" s="545">
        <f t="shared" si="2"/>
        <v>1.6181229773462782E-2</v>
      </c>
      <c r="L233" s="470">
        <f t="shared" si="3"/>
        <v>131</v>
      </c>
      <c r="M233" s="545">
        <f t="shared" si="4"/>
        <v>1.3032232391563868E-2</v>
      </c>
      <c r="N233" s="520"/>
      <c r="O233" s="533"/>
      <c r="P233" s="418"/>
      <c r="Q233" s="482"/>
    </row>
    <row r="234" spans="1:17" s="419" customFormat="1" x14ac:dyDescent="0.3">
      <c r="A234" s="427"/>
      <c r="B234" s="469"/>
      <c r="C234" s="544"/>
      <c r="D234" s="544"/>
      <c r="E234" s="544"/>
      <c r="F234" s="544"/>
      <c r="G234" s="544"/>
      <c r="H234" s="544"/>
      <c r="I234" s="544"/>
      <c r="J234" s="469"/>
      <c r="K234" s="545"/>
      <c r="L234" s="470"/>
      <c r="M234" s="545"/>
      <c r="N234" s="520"/>
      <c r="O234" s="533"/>
      <c r="P234" s="418"/>
      <c r="Q234" s="482"/>
    </row>
    <row r="235" spans="1:17" s="419" customFormat="1" x14ac:dyDescent="0.3">
      <c r="A235" s="427"/>
      <c r="B235" s="428"/>
      <c r="C235" s="428"/>
      <c r="D235" s="546"/>
      <c r="E235" s="546"/>
      <c r="F235" s="546"/>
      <c r="G235" s="546"/>
      <c r="H235" s="546"/>
      <c r="I235" s="546"/>
      <c r="J235" s="469">
        <f>SUM(J221:J234)</f>
        <v>309</v>
      </c>
      <c r="K235" s="545">
        <f>SUM(K221:K234)</f>
        <v>1</v>
      </c>
      <c r="L235" s="470">
        <f>SUM(L221:L234)</f>
        <v>10052</v>
      </c>
      <c r="M235" s="545">
        <f>SUM(M221:M234)</f>
        <v>0.99999999999999989</v>
      </c>
      <c r="N235" s="428"/>
      <c r="O235" s="430"/>
      <c r="P235" s="418"/>
    </row>
    <row r="236" spans="1:17" x14ac:dyDescent="0.3">
      <c r="A236" s="537"/>
      <c r="B236" s="547"/>
      <c r="C236" s="539"/>
      <c r="D236" s="471"/>
      <c r="E236" s="471"/>
      <c r="F236" s="471"/>
      <c r="G236" s="471"/>
      <c r="H236" s="471"/>
      <c r="I236" s="471"/>
      <c r="J236" s="471"/>
      <c r="K236" s="471"/>
      <c r="L236" s="541"/>
      <c r="M236" s="471"/>
      <c r="N236" s="542"/>
      <c r="O236" s="543"/>
      <c r="P236" s="402"/>
    </row>
    <row r="237" spans="1:17" x14ac:dyDescent="0.3">
      <c r="A237" s="585"/>
      <c r="B237" s="599" t="s">
        <v>149</v>
      </c>
      <c r="C237" s="601"/>
      <c r="D237" s="601"/>
      <c r="E237" s="601"/>
      <c r="F237" s="601"/>
      <c r="G237" s="601"/>
      <c r="H237" s="601"/>
      <c r="I237" s="601"/>
      <c r="J237" s="619" t="s">
        <v>99</v>
      </c>
      <c r="K237" s="601" t="s">
        <v>100</v>
      </c>
      <c r="L237" s="615" t="s">
        <v>108</v>
      </c>
      <c r="M237" s="601" t="s">
        <v>100</v>
      </c>
      <c r="N237" s="591"/>
      <c r="O237" s="620"/>
      <c r="P237" s="402"/>
    </row>
    <row r="238" spans="1:17" s="419" customFormat="1" x14ac:dyDescent="0.3">
      <c r="A238" s="587"/>
      <c r="B238" s="597" t="s">
        <v>85</v>
      </c>
      <c r="C238" s="616"/>
      <c r="D238" s="616"/>
      <c r="E238" s="616"/>
      <c r="F238" s="616"/>
      <c r="G238" s="616"/>
      <c r="H238" s="616"/>
      <c r="I238" s="616"/>
      <c r="J238" s="597">
        <v>288</v>
      </c>
      <c r="K238" s="617">
        <f t="shared" ref="K238:K250" si="5">J238/$J$252</f>
        <v>0.93203883495145634</v>
      </c>
      <c r="L238" s="598">
        <v>9262</v>
      </c>
      <c r="M238" s="617">
        <f t="shared" ref="M238:M250" si="6">L238/$L$252</f>
        <v>0.92140867489056899</v>
      </c>
      <c r="N238" s="613"/>
      <c r="O238" s="618"/>
      <c r="P238" s="418"/>
    </row>
    <row r="239" spans="1:17" s="419" customFormat="1" x14ac:dyDescent="0.3">
      <c r="A239" s="427"/>
      <c r="B239" s="469" t="s">
        <v>86</v>
      </c>
      <c r="C239" s="544"/>
      <c r="D239" s="544"/>
      <c r="E239" s="544"/>
      <c r="F239" s="544"/>
      <c r="G239" s="544"/>
      <c r="H239" s="544"/>
      <c r="I239" s="544"/>
      <c r="J239" s="469">
        <v>6</v>
      </c>
      <c r="K239" s="545">
        <f t="shared" si="5"/>
        <v>1.9417475728155338E-2</v>
      </c>
      <c r="L239" s="470">
        <v>269</v>
      </c>
      <c r="M239" s="545">
        <f t="shared" si="6"/>
        <v>2.6760843613211301E-2</v>
      </c>
      <c r="N239" s="520"/>
      <c r="O239" s="533"/>
      <c r="P239" s="418"/>
      <c r="Q239" s="482"/>
    </row>
    <row r="240" spans="1:17" s="419" customFormat="1" x14ac:dyDescent="0.3">
      <c r="A240" s="427"/>
      <c r="B240" s="469" t="s">
        <v>87</v>
      </c>
      <c r="C240" s="544"/>
      <c r="D240" s="544"/>
      <c r="E240" s="544"/>
      <c r="F240" s="544"/>
      <c r="G240" s="544"/>
      <c r="H240" s="544"/>
      <c r="I240" s="544"/>
      <c r="J240" s="469">
        <v>3</v>
      </c>
      <c r="K240" s="545">
        <f t="shared" si="5"/>
        <v>9.7087378640776691E-3</v>
      </c>
      <c r="L240" s="470">
        <v>53</v>
      </c>
      <c r="M240" s="545">
        <f t="shared" si="6"/>
        <v>5.27258257063271E-3</v>
      </c>
      <c r="N240" s="520"/>
      <c r="O240" s="533"/>
      <c r="P240" s="418"/>
    </row>
    <row r="241" spans="1:17" s="419" customFormat="1" x14ac:dyDescent="0.3">
      <c r="A241" s="427"/>
      <c r="B241" s="469" t="s">
        <v>145</v>
      </c>
      <c r="C241" s="544"/>
      <c r="D241" s="544"/>
      <c r="E241" s="544"/>
      <c r="F241" s="544"/>
      <c r="G241" s="544"/>
      <c r="H241" s="544"/>
      <c r="I241" s="544"/>
      <c r="J241" s="469">
        <v>2</v>
      </c>
      <c r="K241" s="545">
        <f t="shared" si="5"/>
        <v>6.4724919093851136E-3</v>
      </c>
      <c r="L241" s="470">
        <v>182</v>
      </c>
      <c r="M241" s="545">
        <f t="shared" si="6"/>
        <v>1.8105849582172703E-2</v>
      </c>
      <c r="N241" s="520"/>
      <c r="O241" s="533"/>
      <c r="P241" s="418"/>
      <c r="Q241" s="482"/>
    </row>
    <row r="242" spans="1:17" s="419" customFormat="1" x14ac:dyDescent="0.3">
      <c r="A242" s="427"/>
      <c r="B242" s="469" t="s">
        <v>146</v>
      </c>
      <c r="C242" s="544"/>
      <c r="D242" s="544"/>
      <c r="E242" s="544"/>
      <c r="F242" s="544"/>
      <c r="G242" s="544"/>
      <c r="H242" s="544"/>
      <c r="I242" s="544"/>
      <c r="J242" s="469">
        <v>0</v>
      </c>
      <c r="K242" s="545">
        <f t="shared" si="5"/>
        <v>0</v>
      </c>
      <c r="L242" s="470">
        <v>0</v>
      </c>
      <c r="M242" s="545">
        <f t="shared" si="6"/>
        <v>0</v>
      </c>
      <c r="N242" s="520"/>
      <c r="O242" s="533"/>
      <c r="P242" s="418"/>
    </row>
    <row r="243" spans="1:17" s="419" customFormat="1" x14ac:dyDescent="0.3">
      <c r="A243" s="427"/>
      <c r="B243" s="469" t="s">
        <v>147</v>
      </c>
      <c r="C243" s="544"/>
      <c r="D243" s="544"/>
      <c r="E243" s="544"/>
      <c r="F243" s="544"/>
      <c r="G243" s="544"/>
      <c r="H243" s="544"/>
      <c r="I243" s="544"/>
      <c r="J243" s="469">
        <v>0</v>
      </c>
      <c r="K243" s="545">
        <f t="shared" si="5"/>
        <v>0</v>
      </c>
      <c r="L243" s="470">
        <v>0</v>
      </c>
      <c r="M243" s="545">
        <f t="shared" si="6"/>
        <v>0</v>
      </c>
      <c r="N243" s="520"/>
      <c r="O243" s="533"/>
      <c r="P243" s="418"/>
      <c r="Q243" s="482"/>
    </row>
    <row r="244" spans="1:17" s="419" customFormat="1" x14ac:dyDescent="0.3">
      <c r="A244" s="427"/>
      <c r="B244" s="469" t="s">
        <v>227</v>
      </c>
      <c r="C244" s="544"/>
      <c r="D244" s="544"/>
      <c r="E244" s="544"/>
      <c r="F244" s="544"/>
      <c r="G244" s="544"/>
      <c r="H244" s="544"/>
      <c r="I244" s="544"/>
      <c r="J244" s="469">
        <v>1</v>
      </c>
      <c r="K244" s="545">
        <f t="shared" si="5"/>
        <v>3.2362459546925568E-3</v>
      </c>
      <c r="L244" s="470">
        <v>61</v>
      </c>
      <c r="M244" s="545">
        <f t="shared" si="6"/>
        <v>6.0684440907282132E-3</v>
      </c>
      <c r="N244" s="520"/>
      <c r="O244" s="533"/>
      <c r="P244" s="418"/>
    </row>
    <row r="245" spans="1:17" s="419" customFormat="1" x14ac:dyDescent="0.3">
      <c r="A245" s="427"/>
      <c r="B245" s="469" t="s">
        <v>228</v>
      </c>
      <c r="C245" s="544"/>
      <c r="D245" s="544"/>
      <c r="E245" s="544"/>
      <c r="F245" s="544"/>
      <c r="G245" s="544"/>
      <c r="H245" s="544"/>
      <c r="I245" s="544"/>
      <c r="J245" s="469">
        <v>2</v>
      </c>
      <c r="K245" s="545">
        <f t="shared" si="5"/>
        <v>6.4724919093851136E-3</v>
      </c>
      <c r="L245" s="470">
        <v>74</v>
      </c>
      <c r="M245" s="545">
        <f t="shared" si="6"/>
        <v>7.361719060883406E-3</v>
      </c>
      <c r="N245" s="520"/>
      <c r="O245" s="533"/>
      <c r="P245" s="418"/>
      <c r="Q245" s="482"/>
    </row>
    <row r="246" spans="1:17" s="419" customFormat="1" x14ac:dyDescent="0.3">
      <c r="A246" s="427"/>
      <c r="B246" s="469" t="s">
        <v>229</v>
      </c>
      <c r="C246" s="544"/>
      <c r="D246" s="544"/>
      <c r="E246" s="544"/>
      <c r="F246" s="544"/>
      <c r="G246" s="544"/>
      <c r="H246" s="544"/>
      <c r="I246" s="544"/>
      <c r="J246" s="469">
        <v>1</v>
      </c>
      <c r="K246" s="545">
        <f t="shared" si="5"/>
        <v>3.2362459546925568E-3</v>
      </c>
      <c r="L246" s="470">
        <v>9</v>
      </c>
      <c r="M246" s="545">
        <f t="shared" si="6"/>
        <v>8.9534421010744128E-4</v>
      </c>
      <c r="N246" s="520"/>
      <c r="O246" s="533"/>
      <c r="P246" s="418"/>
      <c r="Q246" s="482"/>
    </row>
    <row r="247" spans="1:17" s="419" customFormat="1" x14ac:dyDescent="0.3">
      <c r="A247" s="427"/>
      <c r="B247" s="469" t="s">
        <v>230</v>
      </c>
      <c r="C247" s="544"/>
      <c r="D247" s="544"/>
      <c r="E247" s="544"/>
      <c r="F247" s="544"/>
      <c r="G247" s="544"/>
      <c r="H247" s="544"/>
      <c r="I247" s="544"/>
      <c r="J247" s="469">
        <v>1</v>
      </c>
      <c r="K247" s="545">
        <f t="shared" si="5"/>
        <v>3.2362459546925568E-3</v>
      </c>
      <c r="L247" s="470">
        <v>11</v>
      </c>
      <c r="M247" s="545">
        <f t="shared" si="6"/>
        <v>1.0943095901313172E-3</v>
      </c>
      <c r="N247" s="520"/>
      <c r="O247" s="533"/>
      <c r="P247" s="418"/>
      <c r="Q247" s="482"/>
    </row>
    <row r="248" spans="1:17" s="419" customFormat="1" x14ac:dyDescent="0.3">
      <c r="A248" s="427"/>
      <c r="B248" s="469" t="s">
        <v>231</v>
      </c>
      <c r="C248" s="544"/>
      <c r="D248" s="544"/>
      <c r="E248" s="544"/>
      <c r="F248" s="544"/>
      <c r="G248" s="544"/>
      <c r="H248" s="544"/>
      <c r="I248" s="544"/>
      <c r="J248" s="469">
        <v>0</v>
      </c>
      <c r="K248" s="545">
        <f t="shared" si="5"/>
        <v>0</v>
      </c>
      <c r="L248" s="470">
        <v>0</v>
      </c>
      <c r="M248" s="545">
        <f t="shared" si="6"/>
        <v>0</v>
      </c>
      <c r="N248" s="520"/>
      <c r="O248" s="533"/>
      <c r="P248" s="418"/>
      <c r="Q248" s="482"/>
    </row>
    <row r="249" spans="1:17" s="419" customFormat="1" x14ac:dyDescent="0.3">
      <c r="A249" s="427"/>
      <c r="B249" s="469" t="s">
        <v>232</v>
      </c>
      <c r="C249" s="544"/>
      <c r="D249" s="544"/>
      <c r="E249" s="544"/>
      <c r="F249" s="544"/>
      <c r="G249" s="544"/>
      <c r="H249" s="544"/>
      <c r="I249" s="544"/>
      <c r="J249" s="469">
        <v>0</v>
      </c>
      <c r="K249" s="545">
        <f t="shared" si="5"/>
        <v>0</v>
      </c>
      <c r="L249" s="470">
        <v>0</v>
      </c>
      <c r="M249" s="545">
        <f t="shared" si="6"/>
        <v>0</v>
      </c>
      <c r="N249" s="548"/>
      <c r="O249" s="533"/>
      <c r="P249" s="418"/>
      <c r="Q249" s="482"/>
    </row>
    <row r="250" spans="1:17" s="419" customFormat="1" x14ac:dyDescent="0.3">
      <c r="A250" s="427"/>
      <c r="B250" s="469" t="s">
        <v>233</v>
      </c>
      <c r="C250" s="544"/>
      <c r="D250" s="544"/>
      <c r="E250" s="544"/>
      <c r="F250" s="544"/>
      <c r="G250" s="544"/>
      <c r="H250" s="544"/>
      <c r="I250" s="544"/>
      <c r="J250" s="469">
        <v>5</v>
      </c>
      <c r="K250" s="545">
        <f t="shared" si="5"/>
        <v>1.6181229773462782E-2</v>
      </c>
      <c r="L250" s="470">
        <v>131</v>
      </c>
      <c r="M250" s="545">
        <f t="shared" si="6"/>
        <v>1.3032232391563868E-2</v>
      </c>
      <c r="N250" s="548"/>
      <c r="O250" s="533"/>
      <c r="P250" s="418"/>
      <c r="Q250" s="482"/>
    </row>
    <row r="251" spans="1:17" s="419" customFormat="1" ht="18" customHeight="1" x14ac:dyDescent="0.3">
      <c r="A251" s="427"/>
      <c r="B251" s="469"/>
      <c r="C251" s="544"/>
      <c r="D251" s="544"/>
      <c r="E251" s="544"/>
      <c r="F251" s="544"/>
      <c r="G251" s="544"/>
      <c r="H251" s="544"/>
      <c r="I251" s="544"/>
      <c r="J251" s="469"/>
      <c r="K251" s="545"/>
      <c r="L251" s="470"/>
      <c r="M251" s="545"/>
      <c r="N251" s="520"/>
      <c r="O251" s="533"/>
      <c r="P251" s="418"/>
      <c r="Q251" s="482"/>
    </row>
    <row r="252" spans="1:17" s="419" customFormat="1" x14ac:dyDescent="0.3">
      <c r="A252" s="427"/>
      <c r="B252" s="428"/>
      <c r="C252" s="428"/>
      <c r="D252" s="546"/>
      <c r="E252" s="546"/>
      <c r="F252" s="546"/>
      <c r="G252" s="546"/>
      <c r="H252" s="546"/>
      <c r="I252" s="546"/>
      <c r="J252" s="469">
        <f>SUM(J238:J251)</f>
        <v>309</v>
      </c>
      <c r="K252" s="545">
        <f>SUM(K238:K251)</f>
        <v>1</v>
      </c>
      <c r="L252" s="470">
        <f>SUM(L238:L251)</f>
        <v>10052</v>
      </c>
      <c r="M252" s="545">
        <f>SUM(M238:M251)</f>
        <v>0.99999999999999989</v>
      </c>
      <c r="N252" s="428"/>
      <c r="O252" s="430"/>
      <c r="P252" s="418"/>
    </row>
    <row r="253" spans="1:17" x14ac:dyDescent="0.3">
      <c r="A253" s="404"/>
      <c r="B253" s="476"/>
      <c r="C253" s="476"/>
      <c r="D253" s="549"/>
      <c r="E253" s="549"/>
      <c r="F253" s="549"/>
      <c r="G253" s="549"/>
      <c r="H253" s="549"/>
      <c r="I253" s="549"/>
      <c r="J253" s="477"/>
      <c r="K253" s="550"/>
      <c r="L253" s="498"/>
      <c r="M253" s="550"/>
      <c r="N253" s="476"/>
      <c r="O253" s="476"/>
      <c r="P253" s="402"/>
    </row>
    <row r="254" spans="1:17" x14ac:dyDescent="0.3">
      <c r="A254" s="585"/>
      <c r="B254" s="599" t="s">
        <v>204</v>
      </c>
      <c r="C254" s="601"/>
      <c r="D254" s="601"/>
      <c r="E254" s="601"/>
      <c r="F254" s="601"/>
      <c r="G254" s="601"/>
      <c r="H254" s="601"/>
      <c r="I254" s="601"/>
      <c r="J254" s="619" t="s">
        <v>99</v>
      </c>
      <c r="K254" s="601" t="s">
        <v>100</v>
      </c>
      <c r="L254" s="615" t="s">
        <v>108</v>
      </c>
      <c r="M254" s="601" t="s">
        <v>100</v>
      </c>
      <c r="N254" s="591"/>
      <c r="O254" s="594"/>
      <c r="P254" s="402"/>
    </row>
    <row r="255" spans="1:17" s="419" customFormat="1" x14ac:dyDescent="0.3">
      <c r="A255" s="587"/>
      <c r="B255" s="597" t="s">
        <v>85</v>
      </c>
      <c r="C255" s="616"/>
      <c r="D255" s="616"/>
      <c r="E255" s="616"/>
      <c r="F255" s="616"/>
      <c r="G255" s="616"/>
      <c r="H255" s="616"/>
      <c r="I255" s="616"/>
      <c r="J255" s="597">
        <v>0</v>
      </c>
      <c r="K255" s="617">
        <v>0</v>
      </c>
      <c r="L255" s="598">
        <v>0</v>
      </c>
      <c r="M255" s="617">
        <v>0</v>
      </c>
      <c r="N255" s="588"/>
      <c r="O255" s="590"/>
      <c r="P255" s="418"/>
    </row>
    <row r="256" spans="1:17" s="419" customFormat="1" x14ac:dyDescent="0.3">
      <c r="A256" s="427"/>
      <c r="B256" s="469" t="s">
        <v>86</v>
      </c>
      <c r="C256" s="544"/>
      <c r="D256" s="544"/>
      <c r="E256" s="544"/>
      <c r="F256" s="544"/>
      <c r="G256" s="544"/>
      <c r="H256" s="544"/>
      <c r="I256" s="544"/>
      <c r="J256" s="469">
        <v>0</v>
      </c>
      <c r="K256" s="545">
        <v>0</v>
      </c>
      <c r="L256" s="470">
        <v>0</v>
      </c>
      <c r="M256" s="545">
        <v>0</v>
      </c>
      <c r="N256" s="428"/>
      <c r="O256" s="430"/>
      <c r="P256" s="418"/>
    </row>
    <row r="257" spans="1:16" s="419" customFormat="1" x14ac:dyDescent="0.3">
      <c r="A257" s="427"/>
      <c r="B257" s="469" t="s">
        <v>87</v>
      </c>
      <c r="C257" s="544"/>
      <c r="D257" s="544"/>
      <c r="E257" s="544"/>
      <c r="F257" s="544"/>
      <c r="G257" s="544"/>
      <c r="H257" s="544"/>
      <c r="I257" s="544"/>
      <c r="J257" s="469">
        <v>0</v>
      </c>
      <c r="K257" s="545">
        <v>0</v>
      </c>
      <c r="L257" s="470">
        <v>0</v>
      </c>
      <c r="M257" s="545">
        <v>0</v>
      </c>
      <c r="N257" s="428"/>
      <c r="O257" s="430"/>
      <c r="P257" s="418"/>
    </row>
    <row r="258" spans="1:16" s="419" customFormat="1" x14ac:dyDescent="0.3">
      <c r="A258" s="427"/>
      <c r="B258" s="469" t="s">
        <v>145</v>
      </c>
      <c r="C258" s="544"/>
      <c r="D258" s="544"/>
      <c r="E258" s="544"/>
      <c r="F258" s="544"/>
      <c r="G258" s="544"/>
      <c r="H258" s="544"/>
      <c r="I258" s="544"/>
      <c r="J258" s="469">
        <v>0</v>
      </c>
      <c r="K258" s="545">
        <v>0</v>
      </c>
      <c r="L258" s="470">
        <v>0</v>
      </c>
      <c r="M258" s="545">
        <v>0</v>
      </c>
      <c r="N258" s="428"/>
      <c r="O258" s="430"/>
      <c r="P258" s="418"/>
    </row>
    <row r="259" spans="1:16" s="419" customFormat="1" x14ac:dyDescent="0.3">
      <c r="A259" s="427"/>
      <c r="B259" s="469" t="s">
        <v>146</v>
      </c>
      <c r="C259" s="544"/>
      <c r="D259" s="544"/>
      <c r="E259" s="544"/>
      <c r="F259" s="544"/>
      <c r="G259" s="544"/>
      <c r="H259" s="544"/>
      <c r="I259" s="544"/>
      <c r="J259" s="469">
        <v>0</v>
      </c>
      <c r="K259" s="545">
        <v>0</v>
      </c>
      <c r="L259" s="470">
        <v>0</v>
      </c>
      <c r="M259" s="545">
        <v>0</v>
      </c>
      <c r="N259" s="428"/>
      <c r="O259" s="430"/>
      <c r="P259" s="418"/>
    </row>
    <row r="260" spans="1:16" s="419" customFormat="1" x14ac:dyDescent="0.3">
      <c r="A260" s="427"/>
      <c r="B260" s="469" t="s">
        <v>147</v>
      </c>
      <c r="C260" s="544"/>
      <c r="D260" s="544"/>
      <c r="E260" s="544"/>
      <c r="F260" s="544"/>
      <c r="G260" s="544"/>
      <c r="H260" s="544"/>
      <c r="I260" s="544"/>
      <c r="J260" s="469">
        <v>0</v>
      </c>
      <c r="K260" s="545">
        <v>0</v>
      </c>
      <c r="L260" s="470">
        <v>0</v>
      </c>
      <c r="M260" s="545">
        <v>0</v>
      </c>
      <c r="N260" s="428"/>
      <c r="O260" s="430"/>
      <c r="P260" s="418"/>
    </row>
    <row r="261" spans="1:16" s="419" customFormat="1" x14ac:dyDescent="0.3">
      <c r="A261" s="427"/>
      <c r="B261" s="469" t="s">
        <v>227</v>
      </c>
      <c r="C261" s="544"/>
      <c r="D261" s="544"/>
      <c r="E261" s="544"/>
      <c r="F261" s="544"/>
      <c r="G261" s="544"/>
      <c r="H261" s="544"/>
      <c r="I261" s="544"/>
      <c r="J261" s="469">
        <v>0</v>
      </c>
      <c r="K261" s="545">
        <v>0</v>
      </c>
      <c r="L261" s="470">
        <v>0</v>
      </c>
      <c r="M261" s="545">
        <v>0</v>
      </c>
      <c r="N261" s="428"/>
      <c r="O261" s="430"/>
      <c r="P261" s="418"/>
    </row>
    <row r="262" spans="1:16" s="419" customFormat="1" x14ac:dyDescent="0.3">
      <c r="A262" s="427"/>
      <c r="B262" s="469" t="s">
        <v>228</v>
      </c>
      <c r="C262" s="544"/>
      <c r="D262" s="544"/>
      <c r="E262" s="544"/>
      <c r="F262" s="544"/>
      <c r="G262" s="544"/>
      <c r="H262" s="544"/>
      <c r="I262" s="544"/>
      <c r="J262" s="469">
        <v>0</v>
      </c>
      <c r="K262" s="545">
        <v>0</v>
      </c>
      <c r="L262" s="470">
        <v>0</v>
      </c>
      <c r="M262" s="545">
        <v>0</v>
      </c>
      <c r="N262" s="428"/>
      <c r="O262" s="430"/>
      <c r="P262" s="418"/>
    </row>
    <row r="263" spans="1:16" s="419" customFormat="1" x14ac:dyDescent="0.3">
      <c r="A263" s="427"/>
      <c r="B263" s="469" t="s">
        <v>229</v>
      </c>
      <c r="C263" s="544"/>
      <c r="D263" s="544"/>
      <c r="E263" s="544"/>
      <c r="F263" s="544"/>
      <c r="G263" s="544"/>
      <c r="H263" s="544"/>
      <c r="I263" s="544"/>
      <c r="J263" s="469">
        <v>0</v>
      </c>
      <c r="K263" s="545">
        <v>0</v>
      </c>
      <c r="L263" s="470">
        <v>0</v>
      </c>
      <c r="M263" s="545">
        <v>0</v>
      </c>
      <c r="N263" s="428"/>
      <c r="O263" s="430"/>
      <c r="P263" s="418"/>
    </row>
    <row r="264" spans="1:16" s="419" customFormat="1" x14ac:dyDescent="0.3">
      <c r="A264" s="427"/>
      <c r="B264" s="469" t="s">
        <v>230</v>
      </c>
      <c r="C264" s="544"/>
      <c r="D264" s="544"/>
      <c r="E264" s="544"/>
      <c r="F264" s="544"/>
      <c r="G264" s="544"/>
      <c r="H264" s="544"/>
      <c r="I264" s="544"/>
      <c r="J264" s="469">
        <v>0</v>
      </c>
      <c r="K264" s="545">
        <v>0</v>
      </c>
      <c r="L264" s="470">
        <v>0</v>
      </c>
      <c r="M264" s="545">
        <v>0</v>
      </c>
      <c r="N264" s="428"/>
      <c r="O264" s="430"/>
      <c r="P264" s="418"/>
    </row>
    <row r="265" spans="1:16" s="419" customFormat="1" x14ac:dyDescent="0.3">
      <c r="A265" s="427"/>
      <c r="B265" s="469" t="s">
        <v>231</v>
      </c>
      <c r="C265" s="544"/>
      <c r="D265" s="544"/>
      <c r="E265" s="544"/>
      <c r="F265" s="544"/>
      <c r="G265" s="544"/>
      <c r="H265" s="544"/>
      <c r="I265" s="544"/>
      <c r="J265" s="469">
        <v>0</v>
      </c>
      <c r="K265" s="545">
        <v>0</v>
      </c>
      <c r="L265" s="470">
        <v>0</v>
      </c>
      <c r="M265" s="545">
        <v>0</v>
      </c>
      <c r="N265" s="428"/>
      <c r="O265" s="430"/>
      <c r="P265" s="418"/>
    </row>
    <row r="266" spans="1:16" s="419" customFormat="1" x14ac:dyDescent="0.3">
      <c r="A266" s="427"/>
      <c r="B266" s="469" t="s">
        <v>232</v>
      </c>
      <c r="C266" s="544"/>
      <c r="D266" s="544"/>
      <c r="E266" s="544"/>
      <c r="F266" s="544"/>
      <c r="G266" s="544"/>
      <c r="H266" s="544"/>
      <c r="I266" s="544"/>
      <c r="J266" s="469">
        <v>0</v>
      </c>
      <c r="K266" s="545">
        <v>0</v>
      </c>
      <c r="L266" s="470">
        <v>0</v>
      </c>
      <c r="M266" s="545">
        <v>0</v>
      </c>
      <c r="N266" s="428"/>
      <c r="O266" s="430"/>
      <c r="P266" s="418"/>
    </row>
    <row r="267" spans="1:16" s="419" customFormat="1" x14ac:dyDescent="0.3">
      <c r="A267" s="427"/>
      <c r="B267" s="469" t="s">
        <v>233</v>
      </c>
      <c r="C267" s="544"/>
      <c r="D267" s="544"/>
      <c r="E267" s="544"/>
      <c r="F267" s="544"/>
      <c r="G267" s="544"/>
      <c r="H267" s="544"/>
      <c r="I267" s="544"/>
      <c r="J267" s="469">
        <v>0</v>
      </c>
      <c r="K267" s="545">
        <v>0</v>
      </c>
      <c r="L267" s="470">
        <v>0</v>
      </c>
      <c r="M267" s="545">
        <v>0</v>
      </c>
      <c r="N267" s="428"/>
      <c r="O267" s="430"/>
      <c r="P267" s="418"/>
    </row>
    <row r="268" spans="1:16" s="419" customFormat="1" x14ac:dyDescent="0.3">
      <c r="A268" s="427"/>
      <c r="B268" s="469"/>
      <c r="C268" s="544"/>
      <c r="D268" s="544"/>
      <c r="E268" s="544"/>
      <c r="F268" s="544"/>
      <c r="G268" s="544"/>
      <c r="H268" s="544"/>
      <c r="I268" s="544"/>
      <c r="J268" s="469"/>
      <c r="K268" s="545"/>
      <c r="L268" s="470"/>
      <c r="M268" s="545"/>
      <c r="N268" s="428"/>
      <c r="O268" s="430"/>
      <c r="P268" s="418"/>
    </row>
    <row r="269" spans="1:16" s="419" customFormat="1" x14ac:dyDescent="0.3">
      <c r="A269" s="427"/>
      <c r="B269" s="428"/>
      <c r="C269" s="428"/>
      <c r="D269" s="546"/>
      <c r="E269" s="546"/>
      <c r="F269" s="546"/>
      <c r="G269" s="546"/>
      <c r="H269" s="546"/>
      <c r="I269" s="546"/>
      <c r="J269" s="469">
        <f>SUM(J255:J268)</f>
        <v>0</v>
      </c>
      <c r="K269" s="545">
        <f>SUM(K255:K268)</f>
        <v>0</v>
      </c>
      <c r="L269" s="470">
        <f>SUM(L255:L268)</f>
        <v>0</v>
      </c>
      <c r="M269" s="545">
        <f>SUM(M255:M268)</f>
        <v>0</v>
      </c>
      <c r="N269" s="428"/>
      <c r="O269" s="430"/>
      <c r="P269" s="418"/>
    </row>
    <row r="270" spans="1:16" x14ac:dyDescent="0.3">
      <c r="A270" s="404"/>
      <c r="B270" s="476"/>
      <c r="C270" s="476"/>
      <c r="D270" s="549"/>
      <c r="E270" s="549"/>
      <c r="F270" s="549"/>
      <c r="G270" s="549"/>
      <c r="H270" s="549"/>
      <c r="I270" s="549"/>
      <c r="J270" s="477"/>
      <c r="K270" s="550"/>
      <c r="L270" s="498"/>
      <c r="M270" s="550"/>
      <c r="N270" s="476"/>
      <c r="O270" s="476"/>
      <c r="P270" s="402"/>
    </row>
    <row r="271" spans="1:16" x14ac:dyDescent="0.3">
      <c r="A271" s="585"/>
      <c r="B271" s="599" t="s">
        <v>150</v>
      </c>
      <c r="C271" s="591"/>
      <c r="D271" s="621"/>
      <c r="E271" s="621"/>
      <c r="F271" s="621"/>
      <c r="G271" s="621"/>
      <c r="H271" s="621"/>
      <c r="I271" s="621"/>
      <c r="J271" s="619" t="s">
        <v>99</v>
      </c>
      <c r="K271" s="601" t="s">
        <v>100</v>
      </c>
      <c r="L271" s="615" t="s">
        <v>108</v>
      </c>
      <c r="M271" s="601" t="s">
        <v>100</v>
      </c>
      <c r="N271" s="591"/>
      <c r="O271" s="594"/>
      <c r="P271" s="402"/>
    </row>
    <row r="272" spans="1:16" s="419" customFormat="1" x14ac:dyDescent="0.3">
      <c r="A272" s="587"/>
      <c r="B272" s="597" t="s">
        <v>85</v>
      </c>
      <c r="C272" s="588"/>
      <c r="D272" s="622"/>
      <c r="E272" s="622"/>
      <c r="F272" s="622"/>
      <c r="G272" s="622"/>
      <c r="H272" s="622"/>
      <c r="I272" s="622"/>
      <c r="J272" s="597">
        <v>0</v>
      </c>
      <c r="K272" s="617">
        <v>0</v>
      </c>
      <c r="L272" s="598">
        <v>0</v>
      </c>
      <c r="M272" s="617">
        <v>0</v>
      </c>
      <c r="N272" s="588"/>
      <c r="O272" s="590"/>
      <c r="P272" s="418"/>
    </row>
    <row r="273" spans="1:16" s="419" customFormat="1" x14ac:dyDescent="0.3">
      <c r="A273" s="427"/>
      <c r="B273" s="469" t="s">
        <v>86</v>
      </c>
      <c r="C273" s="428"/>
      <c r="D273" s="546"/>
      <c r="E273" s="546"/>
      <c r="F273" s="546"/>
      <c r="G273" s="546"/>
      <c r="H273" s="546"/>
      <c r="I273" s="546"/>
      <c r="J273" s="469">
        <v>0</v>
      </c>
      <c r="K273" s="545">
        <v>0</v>
      </c>
      <c r="L273" s="470">
        <v>0</v>
      </c>
      <c r="M273" s="545">
        <v>0</v>
      </c>
      <c r="N273" s="428"/>
      <c r="O273" s="430"/>
      <c r="P273" s="418"/>
    </row>
    <row r="274" spans="1:16" s="419" customFormat="1" x14ac:dyDescent="0.3">
      <c r="A274" s="427"/>
      <c r="B274" s="469" t="s">
        <v>87</v>
      </c>
      <c r="C274" s="428"/>
      <c r="D274" s="546"/>
      <c r="E274" s="546"/>
      <c r="F274" s="546"/>
      <c r="G274" s="546"/>
      <c r="H274" s="546"/>
      <c r="I274" s="546"/>
      <c r="J274" s="469">
        <v>0</v>
      </c>
      <c r="K274" s="545">
        <v>0</v>
      </c>
      <c r="L274" s="470">
        <v>0</v>
      </c>
      <c r="M274" s="545">
        <v>0</v>
      </c>
      <c r="N274" s="428"/>
      <c r="O274" s="430"/>
      <c r="P274" s="418"/>
    </row>
    <row r="275" spans="1:16" s="419" customFormat="1" x14ac:dyDescent="0.3">
      <c r="A275" s="427"/>
      <c r="B275" s="469" t="s">
        <v>145</v>
      </c>
      <c r="C275" s="428"/>
      <c r="D275" s="546"/>
      <c r="E275" s="546"/>
      <c r="F275" s="546"/>
      <c r="G275" s="546"/>
      <c r="H275" s="546"/>
      <c r="I275" s="546"/>
      <c r="J275" s="469">
        <v>0</v>
      </c>
      <c r="K275" s="545">
        <v>0</v>
      </c>
      <c r="L275" s="470">
        <v>0</v>
      </c>
      <c r="M275" s="545">
        <v>0</v>
      </c>
      <c r="N275" s="428"/>
      <c r="O275" s="430"/>
      <c r="P275" s="418"/>
    </row>
    <row r="276" spans="1:16" s="419" customFormat="1" x14ac:dyDescent="0.3">
      <c r="A276" s="427"/>
      <c r="B276" s="469" t="s">
        <v>146</v>
      </c>
      <c r="C276" s="428"/>
      <c r="D276" s="546"/>
      <c r="E276" s="546"/>
      <c r="F276" s="546"/>
      <c r="G276" s="546"/>
      <c r="H276" s="546"/>
      <c r="I276" s="546"/>
      <c r="J276" s="469">
        <v>0</v>
      </c>
      <c r="K276" s="545">
        <v>0</v>
      </c>
      <c r="L276" s="470">
        <v>0</v>
      </c>
      <c r="M276" s="545">
        <v>0</v>
      </c>
      <c r="N276" s="428"/>
      <c r="O276" s="430"/>
      <c r="P276" s="418"/>
    </row>
    <row r="277" spans="1:16" s="419" customFormat="1" x14ac:dyDescent="0.3">
      <c r="A277" s="427"/>
      <c r="B277" s="469" t="s">
        <v>147</v>
      </c>
      <c r="C277" s="428"/>
      <c r="D277" s="546"/>
      <c r="E277" s="546"/>
      <c r="F277" s="546"/>
      <c r="G277" s="546"/>
      <c r="H277" s="546"/>
      <c r="I277" s="546"/>
      <c r="J277" s="469">
        <v>0</v>
      </c>
      <c r="K277" s="545">
        <v>0</v>
      </c>
      <c r="L277" s="470">
        <v>0</v>
      </c>
      <c r="M277" s="545">
        <v>0</v>
      </c>
      <c r="N277" s="428"/>
      <c r="O277" s="430"/>
      <c r="P277" s="418"/>
    </row>
    <row r="278" spans="1:16" s="419" customFormat="1" x14ac:dyDescent="0.3">
      <c r="A278" s="427"/>
      <c r="B278" s="469" t="s">
        <v>227</v>
      </c>
      <c r="C278" s="428"/>
      <c r="D278" s="546"/>
      <c r="E278" s="546"/>
      <c r="F278" s="546"/>
      <c r="G278" s="546"/>
      <c r="H278" s="546"/>
      <c r="I278" s="546"/>
      <c r="J278" s="469">
        <v>0</v>
      </c>
      <c r="K278" s="545">
        <v>0</v>
      </c>
      <c r="L278" s="470">
        <v>0</v>
      </c>
      <c r="M278" s="545">
        <v>0</v>
      </c>
      <c r="N278" s="428"/>
      <c r="O278" s="430"/>
      <c r="P278" s="418"/>
    </row>
    <row r="279" spans="1:16" s="419" customFormat="1" x14ac:dyDescent="0.3">
      <c r="A279" s="427"/>
      <c r="B279" s="469" t="s">
        <v>228</v>
      </c>
      <c r="C279" s="428"/>
      <c r="D279" s="546"/>
      <c r="E279" s="546"/>
      <c r="F279" s="546"/>
      <c r="G279" s="546"/>
      <c r="H279" s="546"/>
      <c r="I279" s="546"/>
      <c r="J279" s="469">
        <v>0</v>
      </c>
      <c r="K279" s="545">
        <v>0</v>
      </c>
      <c r="L279" s="470">
        <v>0</v>
      </c>
      <c r="M279" s="545">
        <v>0</v>
      </c>
      <c r="N279" s="428"/>
      <c r="O279" s="430"/>
      <c r="P279" s="418"/>
    </row>
    <row r="280" spans="1:16" s="419" customFormat="1" x14ac:dyDescent="0.3">
      <c r="A280" s="427"/>
      <c r="B280" s="469" t="s">
        <v>229</v>
      </c>
      <c r="C280" s="428"/>
      <c r="D280" s="546"/>
      <c r="E280" s="546"/>
      <c r="F280" s="546"/>
      <c r="G280" s="546"/>
      <c r="H280" s="546"/>
      <c r="I280" s="546"/>
      <c r="J280" s="469">
        <v>0</v>
      </c>
      <c r="K280" s="545">
        <v>0</v>
      </c>
      <c r="L280" s="470">
        <v>0</v>
      </c>
      <c r="M280" s="545">
        <v>0</v>
      </c>
      <c r="N280" s="428"/>
      <c r="O280" s="430"/>
      <c r="P280" s="418"/>
    </row>
    <row r="281" spans="1:16" s="419" customFormat="1" x14ac:dyDescent="0.3">
      <c r="A281" s="427"/>
      <c r="B281" s="469" t="s">
        <v>230</v>
      </c>
      <c r="C281" s="428"/>
      <c r="D281" s="546"/>
      <c r="E281" s="546"/>
      <c r="F281" s="546"/>
      <c r="G281" s="546"/>
      <c r="H281" s="546"/>
      <c r="I281" s="546"/>
      <c r="J281" s="469">
        <v>0</v>
      </c>
      <c r="K281" s="545">
        <v>0</v>
      </c>
      <c r="L281" s="470">
        <v>0</v>
      </c>
      <c r="M281" s="545">
        <v>0</v>
      </c>
      <c r="N281" s="428"/>
      <c r="O281" s="430"/>
      <c r="P281" s="418"/>
    </row>
    <row r="282" spans="1:16" s="419" customFormat="1" x14ac:dyDescent="0.3">
      <c r="A282" s="427"/>
      <c r="B282" s="469" t="s">
        <v>231</v>
      </c>
      <c r="C282" s="428"/>
      <c r="D282" s="546"/>
      <c r="E282" s="546"/>
      <c r="F282" s="546"/>
      <c r="G282" s="546"/>
      <c r="H282" s="546"/>
      <c r="I282" s="546"/>
      <c r="J282" s="469">
        <v>0</v>
      </c>
      <c r="K282" s="545">
        <v>0</v>
      </c>
      <c r="L282" s="470">
        <v>0</v>
      </c>
      <c r="M282" s="545">
        <v>0</v>
      </c>
      <c r="N282" s="428"/>
      <c r="O282" s="430"/>
      <c r="P282" s="418"/>
    </row>
    <row r="283" spans="1:16" s="419" customFormat="1" x14ac:dyDescent="0.3">
      <c r="A283" s="427"/>
      <c r="B283" s="469" t="s">
        <v>232</v>
      </c>
      <c r="C283" s="428"/>
      <c r="D283" s="546"/>
      <c r="E283" s="546"/>
      <c r="F283" s="546"/>
      <c r="G283" s="546"/>
      <c r="H283" s="546"/>
      <c r="I283" s="546"/>
      <c r="J283" s="469">
        <v>0</v>
      </c>
      <c r="K283" s="545">
        <v>0</v>
      </c>
      <c r="L283" s="470">
        <v>0</v>
      </c>
      <c r="M283" s="545">
        <v>0</v>
      </c>
      <c r="N283" s="428"/>
      <c r="O283" s="430"/>
      <c r="P283" s="418"/>
    </row>
    <row r="284" spans="1:16" s="419" customFormat="1" x14ac:dyDescent="0.3">
      <c r="A284" s="427"/>
      <c r="B284" s="469" t="s">
        <v>233</v>
      </c>
      <c r="C284" s="428"/>
      <c r="D284" s="546"/>
      <c r="E284" s="546"/>
      <c r="F284" s="546"/>
      <c r="G284" s="546"/>
      <c r="H284" s="546"/>
      <c r="I284" s="546"/>
      <c r="J284" s="469">
        <v>0</v>
      </c>
      <c r="K284" s="545">
        <v>0</v>
      </c>
      <c r="L284" s="470">
        <v>0</v>
      </c>
      <c r="M284" s="545">
        <v>0</v>
      </c>
      <c r="N284" s="428"/>
      <c r="O284" s="430"/>
      <c r="P284" s="418"/>
    </row>
    <row r="285" spans="1:16" s="419" customFormat="1" x14ac:dyDescent="0.3">
      <c r="A285" s="427"/>
      <c r="B285" s="469"/>
      <c r="C285" s="428"/>
      <c r="D285" s="546"/>
      <c r="E285" s="546"/>
      <c r="F285" s="546"/>
      <c r="G285" s="546"/>
      <c r="H285" s="546"/>
      <c r="I285" s="546"/>
      <c r="J285" s="469"/>
      <c r="K285" s="545"/>
      <c r="L285" s="470"/>
      <c r="M285" s="545"/>
      <c r="N285" s="428"/>
      <c r="O285" s="430"/>
      <c r="P285" s="418"/>
    </row>
    <row r="286" spans="1:16" s="419" customFormat="1" x14ac:dyDescent="0.3">
      <c r="A286" s="427"/>
      <c r="B286" s="428" t="s">
        <v>114</v>
      </c>
      <c r="C286" s="428"/>
      <c r="D286" s="546"/>
      <c r="E286" s="546"/>
      <c r="F286" s="546"/>
      <c r="G286" s="546"/>
      <c r="H286" s="546"/>
      <c r="I286" s="546"/>
      <c r="J286" s="469">
        <f>SUM(J272:J284)</f>
        <v>0</v>
      </c>
      <c r="K286" s="545">
        <f>SUM(K272:K284)</f>
        <v>0</v>
      </c>
      <c r="L286" s="470">
        <f>SUM(L272:L284)</f>
        <v>0</v>
      </c>
      <c r="M286" s="545">
        <f>SUM(M272:M284)</f>
        <v>0</v>
      </c>
      <c r="N286" s="428"/>
      <c r="O286" s="430"/>
      <c r="P286" s="418"/>
    </row>
    <row r="287" spans="1:16" s="419" customFormat="1" x14ac:dyDescent="0.3">
      <c r="A287" s="427"/>
      <c r="B287" s="428"/>
      <c r="C287" s="428"/>
      <c r="D287" s="546"/>
      <c r="E287" s="546"/>
      <c r="F287" s="546"/>
      <c r="G287" s="546"/>
      <c r="H287" s="546"/>
      <c r="I287" s="546"/>
      <c r="J287" s="469"/>
      <c r="K287" s="545"/>
      <c r="L287" s="470"/>
      <c r="M287" s="545"/>
      <c r="N287" s="428"/>
      <c r="O287" s="430"/>
      <c r="P287" s="418"/>
    </row>
    <row r="288" spans="1:16" s="419" customFormat="1" x14ac:dyDescent="0.3">
      <c r="A288" s="427"/>
      <c r="B288" s="433" t="s">
        <v>151</v>
      </c>
      <c r="C288" s="428"/>
      <c r="D288" s="546"/>
      <c r="E288" s="546"/>
      <c r="F288" s="546"/>
      <c r="G288" s="546"/>
      <c r="H288" s="546"/>
      <c r="I288" s="546"/>
      <c r="J288" s="551">
        <f>J286+J269+J252</f>
        <v>309</v>
      </c>
      <c r="K288" s="545"/>
      <c r="L288" s="552">
        <f>+L286+L269+L252</f>
        <v>10052</v>
      </c>
      <c r="M288" s="545"/>
      <c r="N288" s="428"/>
      <c r="O288" s="430"/>
      <c r="P288" s="418"/>
    </row>
    <row r="289" spans="1:16" s="419" customFormat="1" x14ac:dyDescent="0.3">
      <c r="A289" s="415"/>
      <c r="B289" s="458"/>
      <c r="C289" s="458"/>
      <c r="D289" s="553"/>
      <c r="E289" s="553"/>
      <c r="F289" s="553"/>
      <c r="G289" s="553"/>
      <c r="H289" s="553"/>
      <c r="I289" s="553"/>
      <c r="J289" s="553"/>
      <c r="K289" s="553"/>
      <c r="L289" s="554"/>
      <c r="M289" s="553"/>
      <c r="N289" s="458"/>
      <c r="O289" s="458"/>
      <c r="P289" s="418"/>
    </row>
    <row r="290" spans="1:16" s="419" customFormat="1" x14ac:dyDescent="0.3">
      <c r="A290" s="415"/>
      <c r="B290" s="416"/>
      <c r="C290" s="416"/>
      <c r="D290" s="555"/>
      <c r="E290" s="555"/>
      <c r="F290" s="555"/>
      <c r="G290" s="555"/>
      <c r="H290" s="555"/>
      <c r="I290" s="555"/>
      <c r="J290" s="555"/>
      <c r="K290" s="555"/>
      <c r="L290" s="556"/>
      <c r="M290" s="555"/>
      <c r="N290" s="416"/>
      <c r="O290" s="416"/>
      <c r="P290" s="418"/>
    </row>
    <row r="291" spans="1:16" s="419" customFormat="1" x14ac:dyDescent="0.3">
      <c r="A291" s="415"/>
      <c r="B291" s="414" t="s">
        <v>88</v>
      </c>
      <c r="C291" s="416"/>
      <c r="D291" s="422" t="s">
        <v>94</v>
      </c>
      <c r="E291" s="416"/>
      <c r="F291" s="414" t="s">
        <v>96</v>
      </c>
      <c r="G291" s="416"/>
      <c r="H291" s="416"/>
      <c r="I291" s="416"/>
      <c r="J291" s="422"/>
      <c r="K291" s="416"/>
      <c r="L291" s="414"/>
      <c r="M291" s="416"/>
      <c r="N291" s="416"/>
      <c r="O291" s="416"/>
      <c r="P291" s="418"/>
    </row>
    <row r="292" spans="1:16" s="419" customFormat="1" x14ac:dyDescent="0.3">
      <c r="A292" s="415"/>
      <c r="B292" s="416"/>
      <c r="C292" s="416"/>
      <c r="D292" s="416"/>
      <c r="E292" s="416"/>
      <c r="F292" s="416"/>
      <c r="G292" s="416"/>
      <c r="H292" s="416"/>
      <c r="I292" s="416"/>
      <c r="J292" s="416"/>
      <c r="K292" s="416"/>
      <c r="L292" s="416"/>
      <c r="M292" s="416"/>
      <c r="N292" s="416"/>
      <c r="O292" s="416"/>
      <c r="P292" s="418"/>
    </row>
    <row r="293" spans="1:16" s="419" customFormat="1" x14ac:dyDescent="0.3">
      <c r="A293" s="557"/>
      <c r="B293" s="414" t="s">
        <v>273</v>
      </c>
      <c r="C293" s="414"/>
      <c r="D293" s="558" t="s">
        <v>240</v>
      </c>
      <c r="E293" s="558"/>
      <c r="F293" s="623" t="s">
        <v>295</v>
      </c>
      <c r="G293" s="414"/>
      <c r="H293" s="416"/>
      <c r="I293" s="416"/>
      <c r="J293" s="558"/>
      <c r="K293" s="414"/>
      <c r="L293" s="414"/>
      <c r="M293" s="416"/>
      <c r="N293" s="416"/>
      <c r="O293" s="416"/>
      <c r="P293" s="418"/>
    </row>
    <row r="294" spans="1:16" s="419" customFormat="1" x14ac:dyDescent="0.3">
      <c r="A294" s="415"/>
      <c r="B294" s="414" t="s">
        <v>274</v>
      </c>
      <c r="C294" s="414"/>
      <c r="D294" s="558" t="s">
        <v>137</v>
      </c>
      <c r="E294" s="414"/>
      <c r="F294" s="623" t="s">
        <v>296</v>
      </c>
      <c r="G294" s="416"/>
      <c r="H294" s="416"/>
      <c r="I294" s="416"/>
      <c r="J294" s="558"/>
      <c r="K294" s="414"/>
      <c r="L294" s="414"/>
      <c r="M294" s="416"/>
      <c r="N294" s="416"/>
      <c r="O294" s="416"/>
      <c r="P294" s="418"/>
    </row>
    <row r="295" spans="1:16" s="419" customFormat="1" x14ac:dyDescent="0.3">
      <c r="A295" s="415"/>
      <c r="B295" s="414"/>
      <c r="C295" s="414"/>
      <c r="D295" s="416"/>
      <c r="E295" s="416"/>
      <c r="F295" s="416"/>
      <c r="G295" s="416"/>
      <c r="H295" s="416"/>
      <c r="I295" s="416"/>
      <c r="J295" s="416"/>
      <c r="K295" s="416"/>
      <c r="L295" s="416"/>
      <c r="M295" s="416"/>
      <c r="N295" s="416"/>
      <c r="O295" s="416"/>
      <c r="P295" s="418"/>
    </row>
    <row r="296" spans="1:16" s="419" customFormat="1" x14ac:dyDescent="0.3">
      <c r="A296" s="415"/>
      <c r="B296" s="414"/>
      <c r="C296" s="414"/>
      <c r="D296" s="416"/>
      <c r="E296" s="416"/>
      <c r="F296" s="416"/>
      <c r="G296" s="416"/>
      <c r="H296" s="416"/>
      <c r="I296" s="416"/>
      <c r="J296" s="416"/>
      <c r="K296" s="416"/>
      <c r="L296" s="416"/>
      <c r="M296" s="416"/>
      <c r="N296" s="416"/>
      <c r="O296" s="416"/>
      <c r="P296" s="418"/>
    </row>
    <row r="297" spans="1:16" s="419" customFormat="1" ht="18.600000000000001" thickBot="1" x14ac:dyDescent="0.4">
      <c r="A297" s="415"/>
      <c r="B297" s="559" t="str">
        <f>B182</f>
        <v>FF7 INVESTOR REPORT QUARTER ENDING FEBRUARY 2019</v>
      </c>
      <c r="C297" s="414"/>
      <c r="D297" s="416"/>
      <c r="E297" s="416"/>
      <c r="F297" s="416"/>
      <c r="G297" s="416"/>
      <c r="H297" s="416"/>
      <c r="I297" s="416"/>
      <c r="J297" s="416"/>
      <c r="K297" s="416"/>
      <c r="L297" s="416"/>
      <c r="M297" s="416"/>
      <c r="N297" s="416"/>
      <c r="O297" s="416"/>
      <c r="P297" s="418"/>
    </row>
    <row r="298" spans="1:16" x14ac:dyDescent="0.3">
      <c r="A298" s="560"/>
      <c r="B298" s="560"/>
      <c r="C298" s="560"/>
      <c r="D298" s="560"/>
      <c r="E298" s="560"/>
      <c r="F298" s="560"/>
      <c r="G298" s="560"/>
      <c r="H298" s="560"/>
      <c r="I298" s="560"/>
      <c r="J298" s="560"/>
      <c r="K298" s="560"/>
      <c r="L298" s="560"/>
      <c r="M298" s="560"/>
      <c r="N298" s="560"/>
      <c r="O298" s="560"/>
    </row>
  </sheetData>
  <hyperlinks>
    <hyperlink ref="K9" r:id="rId1"/>
    <hyperlink ref="K218" r:id="rId2"/>
  </hyperlinks>
  <printOptions horizontalCentered="1" verticalCentered="1"/>
  <pageMargins left="0.19685039370078741" right="0.19685039370078741" top="0.27559055118110237" bottom="0.27559055118110237" header="0" footer="0"/>
  <pageSetup scale="53" orientation="landscape" r:id="rId3"/>
  <headerFooter alignWithMargins="0"/>
  <rowBreaks count="3" manualBreakCount="3">
    <brk id="52" max="14" man="1"/>
    <brk id="115" max="14" man="1"/>
    <brk id="182" max="14" man="1"/>
  </rowBreaks>
  <colBreaks count="1" manualBreakCount="1">
    <brk id="15" max="298" man="1"/>
  </colBreaks>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9CB31"/>
  </sheetPr>
  <dimension ref="A1:IV300"/>
  <sheetViews>
    <sheetView showGridLines="0" tabSelected="1" showOutlineSymbols="0" zoomScale="80" zoomScaleNormal="80" workbookViewId="0"/>
  </sheetViews>
  <sheetFormatPr defaultColWidth="9.6328125" defaultRowHeight="15.6" x14ac:dyDescent="0.3"/>
  <cols>
    <col min="1" max="1" width="4" style="403" customWidth="1"/>
    <col min="2" max="2" width="75.1796875" style="403" customWidth="1"/>
    <col min="3" max="3" width="2.1796875" style="403" customWidth="1"/>
    <col min="4" max="4" width="17.90625" style="403" customWidth="1"/>
    <col min="5" max="5" width="2.36328125" style="403" customWidth="1"/>
    <col min="6" max="6" width="13.08984375" style="403" customWidth="1"/>
    <col min="7" max="7" width="2.36328125" style="403" customWidth="1"/>
    <col min="8" max="8" width="15.54296875" style="403" customWidth="1"/>
    <col min="9" max="9" width="2.1796875" style="403" customWidth="1"/>
    <col min="10" max="10" width="15.54296875" style="403" customWidth="1"/>
    <col min="11" max="12" width="12.6328125" style="403" customWidth="1"/>
    <col min="13" max="13" width="7.81640625" style="403" customWidth="1"/>
    <col min="14" max="14" width="14.6328125" style="403" customWidth="1"/>
    <col min="15" max="15" width="11.81640625" style="403" customWidth="1"/>
    <col min="16" max="16384" width="9.6328125" style="403"/>
  </cols>
  <sheetData>
    <row r="1" spans="1:16" ht="21" x14ac:dyDescent="0.4">
      <c r="A1" s="399"/>
      <c r="B1" s="400" t="s">
        <v>184</v>
      </c>
      <c r="C1" s="401"/>
      <c r="D1" s="401"/>
      <c r="E1" s="401"/>
      <c r="F1" s="401"/>
      <c r="G1" s="401"/>
      <c r="H1" s="401"/>
      <c r="I1" s="401"/>
      <c r="J1" s="401"/>
      <c r="K1" s="401"/>
      <c r="L1" s="401"/>
      <c r="M1" s="401"/>
      <c r="N1" s="401"/>
      <c r="O1" s="401"/>
      <c r="P1" s="402"/>
    </row>
    <row r="2" spans="1:16" x14ac:dyDescent="0.3">
      <c r="A2" s="404"/>
      <c r="B2" s="405"/>
      <c r="C2" s="406"/>
      <c r="D2" s="406"/>
      <c r="E2" s="406"/>
      <c r="F2" s="406"/>
      <c r="G2" s="406"/>
      <c r="H2" s="406"/>
      <c r="I2" s="406"/>
      <c r="J2" s="406"/>
      <c r="K2" s="406"/>
      <c r="L2" s="406"/>
      <c r="M2" s="406"/>
      <c r="N2" s="406"/>
      <c r="O2" s="406"/>
      <c r="P2" s="402"/>
    </row>
    <row r="3" spans="1:16" x14ac:dyDescent="0.3">
      <c r="A3" s="407"/>
      <c r="B3" s="408" t="s">
        <v>185</v>
      </c>
      <c r="C3" s="406"/>
      <c r="D3" s="406"/>
      <c r="E3" s="406"/>
      <c r="F3" s="406"/>
      <c r="G3" s="406"/>
      <c r="H3" s="406"/>
      <c r="I3" s="406"/>
      <c r="J3" s="406"/>
      <c r="K3" s="406"/>
      <c r="L3" s="406"/>
      <c r="M3" s="406"/>
      <c r="N3" s="406"/>
      <c r="O3" s="406"/>
      <c r="P3" s="402"/>
    </row>
    <row r="4" spans="1:16" x14ac:dyDescent="0.3">
      <c r="A4" s="404"/>
      <c r="B4" s="405"/>
      <c r="C4" s="406"/>
      <c r="D4" s="406"/>
      <c r="E4" s="406"/>
      <c r="F4" s="406"/>
      <c r="G4" s="406"/>
      <c r="H4" s="406"/>
      <c r="I4" s="406"/>
      <c r="J4" s="406"/>
      <c r="K4" s="406"/>
      <c r="L4" s="406"/>
      <c r="M4" s="406"/>
      <c r="N4" s="406"/>
      <c r="O4" s="406"/>
      <c r="P4" s="402"/>
    </row>
    <row r="5" spans="1:16" x14ac:dyDescent="0.3">
      <c r="A5" s="404"/>
      <c r="B5" s="409" t="s">
        <v>243</v>
      </c>
      <c r="C5" s="406"/>
      <c r="D5" s="406"/>
      <c r="E5" s="406"/>
      <c r="F5" s="406"/>
      <c r="G5" s="406"/>
      <c r="H5" s="406"/>
      <c r="I5" s="406"/>
      <c r="J5" s="406"/>
      <c r="K5" s="406"/>
      <c r="L5" s="406"/>
      <c r="M5" s="406"/>
      <c r="N5" s="406"/>
      <c r="O5" s="406"/>
      <c r="P5" s="402"/>
    </row>
    <row r="6" spans="1:16" x14ac:dyDescent="0.3">
      <c r="A6" s="404"/>
      <c r="B6" s="409" t="s">
        <v>187</v>
      </c>
      <c r="C6" s="406"/>
      <c r="D6" s="406"/>
      <c r="E6" s="406"/>
      <c r="F6" s="406"/>
      <c r="G6" s="406"/>
      <c r="H6" s="406"/>
      <c r="I6" s="406"/>
      <c r="J6" s="406"/>
      <c r="K6" s="406"/>
      <c r="L6" s="406"/>
      <c r="M6" s="406"/>
      <c r="N6" s="406"/>
      <c r="O6" s="406"/>
      <c r="P6" s="402"/>
    </row>
    <row r="7" spans="1:16" x14ac:dyDescent="0.3">
      <c r="A7" s="404"/>
      <c r="B7" s="409" t="s">
        <v>188</v>
      </c>
      <c r="C7" s="406"/>
      <c r="D7" s="406"/>
      <c r="E7" s="406"/>
      <c r="F7" s="406"/>
      <c r="G7" s="406"/>
      <c r="H7" s="406"/>
      <c r="I7" s="406"/>
      <c r="J7" s="406"/>
      <c r="K7" s="406"/>
      <c r="L7" s="406"/>
      <c r="M7" s="406"/>
      <c r="N7" s="406"/>
      <c r="O7" s="406"/>
      <c r="P7" s="402"/>
    </row>
    <row r="8" spans="1:16" x14ac:dyDescent="0.3">
      <c r="A8" s="404"/>
      <c r="B8" s="410"/>
      <c r="C8" s="406"/>
      <c r="D8" s="406"/>
      <c r="E8" s="406"/>
      <c r="F8" s="406"/>
      <c r="G8" s="406"/>
      <c r="H8" s="406"/>
      <c r="I8" s="406"/>
      <c r="J8" s="406"/>
      <c r="K8" s="406"/>
      <c r="L8" s="406"/>
      <c r="M8" s="406"/>
      <c r="N8" s="406"/>
      <c r="O8" s="406"/>
      <c r="P8" s="402"/>
    </row>
    <row r="9" spans="1:16" ht="18" x14ac:dyDescent="0.35">
      <c r="A9" s="404"/>
      <c r="B9" s="411" t="s">
        <v>153</v>
      </c>
      <c r="C9" s="406"/>
      <c r="D9" s="412"/>
      <c r="E9" s="406"/>
      <c r="F9" s="412"/>
      <c r="G9" s="406"/>
      <c r="H9" s="406"/>
      <c r="I9" s="406"/>
      <c r="J9" s="406"/>
      <c r="K9" s="398" t="s">
        <v>293</v>
      </c>
      <c r="L9" s="406"/>
      <c r="M9" s="406"/>
      <c r="N9" s="406"/>
      <c r="O9" s="406"/>
      <c r="P9" s="402"/>
    </row>
    <row r="10" spans="1:16" x14ac:dyDescent="0.3">
      <c r="A10" s="404"/>
      <c r="B10" s="410"/>
      <c r="C10" s="413"/>
      <c r="D10" s="406"/>
      <c r="E10" s="406"/>
      <c r="F10" s="406"/>
      <c r="G10" s="406"/>
      <c r="H10" s="406"/>
      <c r="I10" s="406"/>
      <c r="J10" s="406"/>
      <c r="K10" s="406"/>
      <c r="L10" s="406"/>
      <c r="M10" s="406"/>
      <c r="N10" s="406"/>
      <c r="O10" s="406"/>
      <c r="P10" s="402"/>
    </row>
    <row r="11" spans="1:16" x14ac:dyDescent="0.3">
      <c r="A11" s="404"/>
      <c r="B11" s="414" t="s">
        <v>0</v>
      </c>
      <c r="C11" s="406"/>
      <c r="D11" s="406"/>
      <c r="E11" s="406"/>
      <c r="F11" s="406"/>
      <c r="G11" s="406"/>
      <c r="H11" s="406"/>
      <c r="I11" s="406"/>
      <c r="J11" s="406"/>
      <c r="K11" s="406"/>
      <c r="L11" s="406"/>
      <c r="M11" s="406"/>
      <c r="N11" s="406"/>
      <c r="O11" s="406"/>
      <c r="P11" s="402"/>
    </row>
    <row r="12" spans="1:16" ht="16.2" thickBot="1" x14ac:dyDescent="0.35">
      <c r="A12" s="404"/>
      <c r="B12" s="413"/>
      <c r="C12" s="406"/>
      <c r="D12" s="406"/>
      <c r="E12" s="406"/>
      <c r="F12" s="406"/>
      <c r="G12" s="406"/>
      <c r="H12" s="406"/>
      <c r="I12" s="406"/>
      <c r="J12" s="406"/>
      <c r="K12" s="406"/>
      <c r="L12" s="406"/>
      <c r="M12" s="406"/>
      <c r="N12" s="406"/>
      <c r="O12" s="406"/>
      <c r="P12" s="402"/>
    </row>
    <row r="13" spans="1:16" x14ac:dyDescent="0.3">
      <c r="A13" s="399"/>
      <c r="B13" s="401"/>
      <c r="C13" s="401"/>
      <c r="D13" s="401"/>
      <c r="E13" s="401"/>
      <c r="F13" s="401"/>
      <c r="G13" s="401"/>
      <c r="H13" s="401"/>
      <c r="I13" s="401"/>
      <c r="J13" s="401"/>
      <c r="K13" s="401"/>
      <c r="L13" s="401"/>
      <c r="M13" s="401"/>
      <c r="N13" s="401"/>
      <c r="O13" s="401"/>
      <c r="P13" s="402"/>
    </row>
    <row r="14" spans="1:16" s="419" customFormat="1" x14ac:dyDescent="0.3">
      <c r="A14" s="415"/>
      <c r="B14" s="414" t="s">
        <v>1</v>
      </c>
      <c r="C14" s="416"/>
      <c r="D14" s="416"/>
      <c r="E14" s="416"/>
      <c r="F14" s="416"/>
      <c r="G14" s="416"/>
      <c r="H14" s="416"/>
      <c r="I14" s="416"/>
      <c r="J14" s="416"/>
      <c r="K14" s="416"/>
      <c r="L14" s="416"/>
      <c r="M14" s="416"/>
      <c r="N14" s="417" t="s">
        <v>186</v>
      </c>
      <c r="O14" s="416"/>
      <c r="P14" s="418"/>
    </row>
    <row r="15" spans="1:16" s="419" customFormat="1" x14ac:dyDescent="0.3">
      <c r="A15" s="415"/>
      <c r="B15" s="414" t="s">
        <v>2</v>
      </c>
      <c r="C15" s="416"/>
      <c r="D15" s="420"/>
      <c r="E15" s="420"/>
      <c r="F15" s="420"/>
      <c r="G15" s="420"/>
      <c r="H15" s="420"/>
      <c r="I15" s="420"/>
      <c r="J15" s="420" t="s">
        <v>101</v>
      </c>
      <c r="K15" s="421">
        <v>4.07E-2</v>
      </c>
      <c r="L15" s="422" t="s">
        <v>133</v>
      </c>
      <c r="M15" s="421">
        <v>0.95930000000000004</v>
      </c>
      <c r="N15" s="417"/>
      <c r="O15" s="416"/>
      <c r="P15" s="418"/>
    </row>
    <row r="16" spans="1:16" s="419" customFormat="1" x14ac:dyDescent="0.3">
      <c r="A16" s="415"/>
      <c r="B16" s="414" t="s">
        <v>3</v>
      </c>
      <c r="C16" s="416"/>
      <c r="D16" s="420"/>
      <c r="E16" s="420"/>
      <c r="F16" s="420"/>
      <c r="G16" s="420"/>
      <c r="H16" s="420"/>
      <c r="I16" s="420"/>
      <c r="J16" s="420" t="s">
        <v>101</v>
      </c>
      <c r="K16" s="421">
        <v>0</v>
      </c>
      <c r="L16" s="422" t="s">
        <v>133</v>
      </c>
      <c r="M16" s="421">
        <v>0</v>
      </c>
      <c r="N16" s="417"/>
      <c r="O16" s="416"/>
      <c r="P16" s="418"/>
    </row>
    <row r="17" spans="1:16" s="419" customFormat="1" x14ac:dyDescent="0.3">
      <c r="A17" s="415"/>
      <c r="B17" s="414" t="s">
        <v>4</v>
      </c>
      <c r="C17" s="416"/>
      <c r="D17" s="416"/>
      <c r="E17" s="416"/>
      <c r="F17" s="416"/>
      <c r="G17" s="416"/>
      <c r="H17" s="416"/>
      <c r="I17" s="416"/>
      <c r="J17" s="416"/>
      <c r="K17" s="416"/>
      <c r="L17" s="416"/>
      <c r="M17" s="416"/>
      <c r="N17" s="423">
        <v>39107</v>
      </c>
      <c r="O17" s="416"/>
      <c r="P17" s="418"/>
    </row>
    <row r="18" spans="1:16" s="419" customFormat="1" x14ac:dyDescent="0.3">
      <c r="A18" s="415"/>
      <c r="B18" s="414" t="s">
        <v>5</v>
      </c>
      <c r="C18" s="416"/>
      <c r="D18" s="416"/>
      <c r="E18" s="416"/>
      <c r="F18" s="416"/>
      <c r="G18" s="416"/>
      <c r="H18" s="416"/>
      <c r="I18" s="416"/>
      <c r="J18" s="416"/>
      <c r="K18" s="416"/>
      <c r="L18" s="416"/>
      <c r="M18" s="416"/>
      <c r="N18" s="423">
        <v>43637</v>
      </c>
      <c r="O18" s="416"/>
      <c r="P18" s="418"/>
    </row>
    <row r="19" spans="1:16" s="419" customFormat="1" x14ac:dyDescent="0.3">
      <c r="A19" s="415"/>
      <c r="B19" s="416"/>
      <c r="C19" s="416"/>
      <c r="D19" s="416"/>
      <c r="E19" s="416"/>
      <c r="F19" s="416"/>
      <c r="G19" s="416"/>
      <c r="H19" s="416"/>
      <c r="I19" s="416"/>
      <c r="J19" s="416"/>
      <c r="K19" s="416"/>
      <c r="L19" s="416"/>
      <c r="M19" s="416"/>
      <c r="N19" s="424"/>
      <c r="O19" s="416"/>
      <c r="P19" s="418"/>
    </row>
    <row r="20" spans="1:16" s="419" customFormat="1" x14ac:dyDescent="0.3">
      <c r="A20" s="415"/>
      <c r="B20" s="425" t="s">
        <v>6</v>
      </c>
      <c r="C20" s="416"/>
      <c r="D20" s="416"/>
      <c r="E20" s="416"/>
      <c r="F20" s="416"/>
      <c r="G20" s="416"/>
      <c r="H20" s="416"/>
      <c r="I20" s="416"/>
      <c r="J20" s="416"/>
      <c r="K20" s="416"/>
      <c r="L20" s="424" t="s">
        <v>102</v>
      </c>
      <c r="M20" s="416"/>
      <c r="N20" s="416"/>
      <c r="O20" s="416"/>
      <c r="P20" s="418"/>
    </row>
    <row r="21" spans="1:16" x14ac:dyDescent="0.3">
      <c r="A21" s="404"/>
      <c r="B21" s="406"/>
      <c r="C21" s="406"/>
      <c r="D21" s="406"/>
      <c r="E21" s="406"/>
      <c r="F21" s="406"/>
      <c r="G21" s="406"/>
      <c r="H21" s="406"/>
      <c r="I21" s="406"/>
      <c r="J21" s="406"/>
      <c r="K21" s="406"/>
      <c r="L21" s="406"/>
      <c r="M21" s="406"/>
      <c r="N21" s="426"/>
      <c r="O21" s="406"/>
      <c r="P21" s="402"/>
    </row>
    <row r="22" spans="1:16" x14ac:dyDescent="0.3">
      <c r="A22" s="585"/>
      <c r="B22" s="591"/>
      <c r="C22" s="592"/>
      <c r="D22" s="592" t="s">
        <v>103</v>
      </c>
      <c r="E22" s="592"/>
      <c r="F22" s="592" t="s">
        <v>189</v>
      </c>
      <c r="G22" s="592"/>
      <c r="H22" s="592" t="s">
        <v>190</v>
      </c>
      <c r="I22" s="592"/>
      <c r="J22" s="592"/>
      <c r="K22" s="593"/>
      <c r="L22" s="593"/>
      <c r="M22" s="591"/>
      <c r="N22" s="591"/>
      <c r="O22" s="594"/>
      <c r="P22" s="402"/>
    </row>
    <row r="23" spans="1:16" s="419" customFormat="1" x14ac:dyDescent="0.3">
      <c r="A23" s="587"/>
      <c r="B23" s="588" t="s">
        <v>7</v>
      </c>
      <c r="C23" s="589"/>
      <c r="D23" s="589" t="s">
        <v>134</v>
      </c>
      <c r="E23" s="589"/>
      <c r="F23" s="589" t="s">
        <v>152</v>
      </c>
      <c r="G23" s="589"/>
      <c r="H23" s="589" t="s">
        <v>135</v>
      </c>
      <c r="I23" s="589"/>
      <c r="J23" s="589"/>
      <c r="K23" s="589"/>
      <c r="L23" s="589"/>
      <c r="M23" s="588"/>
      <c r="N23" s="588"/>
      <c r="O23" s="590"/>
      <c r="P23" s="418"/>
    </row>
    <row r="24" spans="1:16" s="419" customFormat="1" x14ac:dyDescent="0.3">
      <c r="A24" s="431"/>
      <c r="B24" s="428" t="s">
        <v>162</v>
      </c>
      <c r="C24" s="432"/>
      <c r="D24" s="429" t="s">
        <v>134</v>
      </c>
      <c r="E24" s="429"/>
      <c r="F24" s="429" t="s">
        <v>152</v>
      </c>
      <c r="G24" s="429"/>
      <c r="H24" s="429" t="s">
        <v>135</v>
      </c>
      <c r="I24" s="429"/>
      <c r="J24" s="429"/>
      <c r="K24" s="432"/>
      <c r="L24" s="429"/>
      <c r="M24" s="428"/>
      <c r="N24" s="428"/>
      <c r="O24" s="430"/>
      <c r="P24" s="418"/>
    </row>
    <row r="25" spans="1:16" s="419" customFormat="1" x14ac:dyDescent="0.3">
      <c r="A25" s="427"/>
      <c r="B25" s="433" t="s">
        <v>163</v>
      </c>
      <c r="C25" s="429"/>
      <c r="D25" s="432" t="s">
        <v>134</v>
      </c>
      <c r="E25" s="432"/>
      <c r="F25" s="432" t="s">
        <v>267</v>
      </c>
      <c r="G25" s="432"/>
      <c r="H25" s="432" t="s">
        <v>267</v>
      </c>
      <c r="I25" s="432"/>
      <c r="J25" s="432"/>
      <c r="K25" s="429"/>
      <c r="L25" s="434"/>
      <c r="M25" s="428"/>
      <c r="N25" s="428"/>
      <c r="O25" s="430"/>
      <c r="P25" s="418"/>
    </row>
    <row r="26" spans="1:16" s="419" customFormat="1" x14ac:dyDescent="0.3">
      <c r="A26" s="427"/>
      <c r="B26" s="433" t="s">
        <v>164</v>
      </c>
      <c r="C26" s="429"/>
      <c r="D26" s="432" t="s">
        <v>134</v>
      </c>
      <c r="E26" s="432"/>
      <c r="F26" s="432" t="s">
        <v>135</v>
      </c>
      <c r="G26" s="432"/>
      <c r="H26" s="432" t="s">
        <v>135</v>
      </c>
      <c r="I26" s="432"/>
      <c r="J26" s="432"/>
      <c r="K26" s="429"/>
      <c r="L26" s="434"/>
      <c r="M26" s="428"/>
      <c r="N26" s="428"/>
      <c r="O26" s="430"/>
      <c r="P26" s="418"/>
    </row>
    <row r="27" spans="1:16" s="419" customFormat="1" x14ac:dyDescent="0.3">
      <c r="A27" s="427"/>
      <c r="B27" s="428" t="s">
        <v>8</v>
      </c>
      <c r="C27" s="435"/>
      <c r="D27" s="429" t="s">
        <v>218</v>
      </c>
      <c r="E27" s="429"/>
      <c r="F27" s="429" t="s">
        <v>219</v>
      </c>
      <c r="G27" s="429"/>
      <c r="H27" s="429" t="s">
        <v>220</v>
      </c>
      <c r="I27" s="429"/>
      <c r="J27" s="429"/>
      <c r="K27" s="436"/>
      <c r="L27" s="436"/>
      <c r="M27" s="435"/>
      <c r="N27" s="436"/>
      <c r="O27" s="437"/>
      <c r="P27" s="418"/>
    </row>
    <row r="28" spans="1:16" s="419" customFormat="1" x14ac:dyDescent="0.3">
      <c r="A28" s="431"/>
      <c r="B28" s="428" t="s">
        <v>129</v>
      </c>
      <c r="C28" s="438"/>
      <c r="D28" s="436">
        <v>260500</v>
      </c>
      <c r="E28" s="436"/>
      <c r="F28" s="436">
        <v>4050</v>
      </c>
      <c r="G28" s="436"/>
      <c r="H28" s="436">
        <v>4050</v>
      </c>
      <c r="I28" s="436"/>
      <c r="J28" s="439"/>
      <c r="K28" s="440"/>
      <c r="L28" s="440"/>
      <c r="M28" s="438"/>
      <c r="N28" s="436">
        <f>SUM(D28:H28)</f>
        <v>268600</v>
      </c>
      <c r="O28" s="437"/>
      <c r="P28" s="418"/>
    </row>
    <row r="29" spans="1:16" s="419" customFormat="1" x14ac:dyDescent="0.3">
      <c r="A29" s="427"/>
      <c r="B29" s="428" t="s">
        <v>128</v>
      </c>
      <c r="C29" s="435"/>
      <c r="D29" s="436">
        <f>D28*D32</f>
        <v>6855.1095999999998</v>
      </c>
      <c r="E29" s="436"/>
      <c r="F29" s="436">
        <f>F28*F32</f>
        <v>1598.20047</v>
      </c>
      <c r="G29" s="436"/>
      <c r="H29" s="436">
        <f>H28*H32</f>
        <v>1598.20047</v>
      </c>
      <c r="I29" s="436"/>
      <c r="J29" s="439"/>
      <c r="K29" s="436"/>
      <c r="L29" s="436"/>
      <c r="M29" s="435"/>
      <c r="N29" s="436">
        <f>SUM(D29:H29)</f>
        <v>10051.510539999999</v>
      </c>
      <c r="O29" s="437"/>
      <c r="P29" s="418"/>
    </row>
    <row r="30" spans="1:16" s="419" customFormat="1" x14ac:dyDescent="0.3">
      <c r="A30" s="427"/>
      <c r="B30" s="433" t="s">
        <v>130</v>
      </c>
      <c r="C30" s="435"/>
      <c r="D30" s="440">
        <f>D28*D31</f>
        <v>0</v>
      </c>
      <c r="E30" s="440"/>
      <c r="F30" s="440">
        <f>F28*F31</f>
        <v>0</v>
      </c>
      <c r="G30" s="440"/>
      <c r="H30" s="440">
        <f>H28*H31</f>
        <v>0</v>
      </c>
      <c r="I30" s="440"/>
      <c r="J30" s="441"/>
      <c r="K30" s="436"/>
      <c r="L30" s="436"/>
      <c r="M30" s="435"/>
      <c r="N30" s="440">
        <f>SUM(D30:I30)</f>
        <v>0</v>
      </c>
      <c r="O30" s="437"/>
      <c r="P30" s="418"/>
    </row>
    <row r="31" spans="1:16" s="569" customFormat="1" x14ac:dyDescent="0.3">
      <c r="A31" s="561"/>
      <c r="B31" s="562" t="s">
        <v>126</v>
      </c>
      <c r="C31" s="563"/>
      <c r="D31" s="564">
        <v>0</v>
      </c>
      <c r="E31" s="564"/>
      <c r="F31" s="564">
        <v>0</v>
      </c>
      <c r="G31" s="564"/>
      <c r="H31" s="564">
        <v>0</v>
      </c>
      <c r="I31" s="565"/>
      <c r="J31" s="565"/>
      <c r="K31" s="566"/>
      <c r="L31" s="566"/>
      <c r="M31" s="563"/>
      <c r="N31" s="563"/>
      <c r="O31" s="567"/>
      <c r="P31" s="568"/>
    </row>
    <row r="32" spans="1:16" s="569" customFormat="1" x14ac:dyDescent="0.3">
      <c r="A32" s="561"/>
      <c r="B32" s="562" t="s">
        <v>127</v>
      </c>
      <c r="C32" s="563"/>
      <c r="D32" s="564">
        <v>2.63152E-2</v>
      </c>
      <c r="E32" s="564"/>
      <c r="F32" s="564">
        <v>0.39461740000000001</v>
      </c>
      <c r="G32" s="564"/>
      <c r="H32" s="564">
        <v>0.39461740000000001</v>
      </c>
      <c r="I32" s="565"/>
      <c r="J32" s="565"/>
      <c r="K32" s="570"/>
      <c r="L32" s="571"/>
      <c r="M32" s="563"/>
      <c r="N32" s="570"/>
      <c r="O32" s="567"/>
      <c r="P32" s="568"/>
    </row>
    <row r="33" spans="1:17" s="419" customFormat="1" x14ac:dyDescent="0.3">
      <c r="A33" s="427"/>
      <c r="B33" s="428" t="s">
        <v>9</v>
      </c>
      <c r="C33" s="428"/>
      <c r="D33" s="434" t="s">
        <v>193</v>
      </c>
      <c r="E33" s="434"/>
      <c r="F33" s="434" t="s">
        <v>195</v>
      </c>
      <c r="G33" s="434"/>
      <c r="H33" s="434" t="s">
        <v>197</v>
      </c>
      <c r="I33" s="434"/>
      <c r="J33" s="434"/>
      <c r="K33" s="446"/>
      <c r="L33" s="447"/>
      <c r="M33" s="428"/>
      <c r="N33" s="428"/>
      <c r="O33" s="430"/>
      <c r="P33" s="418"/>
    </row>
    <row r="34" spans="1:17" s="419" customFormat="1" x14ac:dyDescent="0.3">
      <c r="A34" s="427"/>
      <c r="B34" s="428" t="s">
        <v>10</v>
      </c>
      <c r="C34" s="428"/>
      <c r="D34" s="447">
        <v>1.08463E-2</v>
      </c>
      <c r="E34" s="446"/>
      <c r="F34" s="447">
        <v>1.2046299999999999E-2</v>
      </c>
      <c r="G34" s="446"/>
      <c r="H34" s="447">
        <v>1.4046299999999999E-2</v>
      </c>
      <c r="I34" s="446"/>
      <c r="J34" s="447"/>
      <c r="K34" s="446"/>
      <c r="L34" s="447"/>
      <c r="M34" s="428"/>
      <c r="N34" s="446">
        <f>SUMPRODUCT(D34:H34,D29:H29)/N29</f>
        <v>1.154590450620987E-2</v>
      </c>
      <c r="O34" s="430"/>
      <c r="P34" s="418"/>
    </row>
    <row r="35" spans="1:17" s="419" customFormat="1" x14ac:dyDescent="0.3">
      <c r="A35" s="427"/>
      <c r="B35" s="428" t="s">
        <v>11</v>
      </c>
      <c r="C35" s="428"/>
      <c r="D35" s="447">
        <v>1.14638E-2</v>
      </c>
      <c r="E35" s="446"/>
      <c r="F35" s="447">
        <v>1.2663799999999999E-2</v>
      </c>
      <c r="G35" s="446"/>
      <c r="H35" s="447">
        <v>1.4663799999999999E-2</v>
      </c>
      <c r="I35" s="447"/>
      <c r="J35" s="447"/>
      <c r="K35" s="446"/>
      <c r="L35" s="447"/>
      <c r="M35" s="428"/>
      <c r="N35" s="446" t="s">
        <v>165</v>
      </c>
      <c r="O35" s="430"/>
      <c r="P35" s="418"/>
    </row>
    <row r="36" spans="1:17" s="419" customFormat="1" x14ac:dyDescent="0.3">
      <c r="A36" s="427"/>
      <c r="B36" s="428" t="s">
        <v>12</v>
      </c>
      <c r="C36" s="428"/>
      <c r="D36" s="448">
        <v>40617</v>
      </c>
      <c r="E36" s="448"/>
      <c r="F36" s="448">
        <v>40617</v>
      </c>
      <c r="G36" s="448"/>
      <c r="H36" s="448">
        <v>40617</v>
      </c>
      <c r="I36" s="448"/>
      <c r="J36" s="448"/>
      <c r="K36" s="434"/>
      <c r="L36" s="434"/>
      <c r="M36" s="428"/>
      <c r="N36" s="428"/>
      <c r="O36" s="430"/>
      <c r="P36" s="418"/>
    </row>
    <row r="37" spans="1:17" s="419" customFormat="1" x14ac:dyDescent="0.3">
      <c r="A37" s="427"/>
      <c r="B37" s="428" t="s">
        <v>13</v>
      </c>
      <c r="C37" s="428"/>
      <c r="D37" s="448">
        <v>40983</v>
      </c>
      <c r="E37" s="434"/>
      <c r="F37" s="448">
        <v>40983</v>
      </c>
      <c r="G37" s="434"/>
      <c r="H37" s="448">
        <v>40983</v>
      </c>
      <c r="I37" s="434"/>
      <c r="J37" s="448"/>
      <c r="K37" s="434"/>
      <c r="L37" s="434"/>
      <c r="M37" s="428"/>
      <c r="N37" s="428"/>
      <c r="O37" s="430"/>
      <c r="P37" s="418"/>
    </row>
    <row r="38" spans="1:17" s="419" customFormat="1" x14ac:dyDescent="0.3">
      <c r="A38" s="427"/>
      <c r="B38" s="428" t="s">
        <v>118</v>
      </c>
      <c r="C38" s="428"/>
      <c r="D38" s="434" t="s">
        <v>193</v>
      </c>
      <c r="E38" s="434"/>
      <c r="F38" s="434" t="s">
        <v>195</v>
      </c>
      <c r="G38" s="434"/>
      <c r="H38" s="434" t="s">
        <v>197</v>
      </c>
      <c r="I38" s="434"/>
      <c r="J38" s="434"/>
      <c r="K38" s="449"/>
      <c r="L38" s="449"/>
      <c r="M38" s="449"/>
      <c r="N38" s="449"/>
      <c r="O38" s="430"/>
      <c r="P38" s="418"/>
    </row>
    <row r="39" spans="1:17" s="419" customFormat="1" x14ac:dyDescent="0.3">
      <c r="A39" s="427"/>
      <c r="B39" s="428"/>
      <c r="C39" s="428"/>
      <c r="D39" s="434"/>
      <c r="E39" s="434"/>
      <c r="F39" s="447"/>
      <c r="G39" s="434"/>
      <c r="H39" s="447"/>
      <c r="I39" s="434"/>
      <c r="J39" s="434"/>
      <c r="K39" s="428"/>
      <c r="L39" s="428"/>
      <c r="M39" s="428"/>
      <c r="N39" s="446" t="s">
        <v>165</v>
      </c>
      <c r="O39" s="430"/>
      <c r="P39" s="418"/>
    </row>
    <row r="40" spans="1:17" s="419" customFormat="1" x14ac:dyDescent="0.3">
      <c r="A40" s="427"/>
      <c r="B40" s="428" t="s">
        <v>156</v>
      </c>
      <c r="C40" s="428"/>
      <c r="D40" s="434"/>
      <c r="E40" s="434"/>
      <c r="F40" s="434"/>
      <c r="G40" s="434"/>
      <c r="H40" s="434"/>
      <c r="I40" s="434"/>
      <c r="J40" s="434"/>
      <c r="K40" s="428"/>
      <c r="L40" s="428"/>
      <c r="M40" s="428"/>
      <c r="N40" s="446">
        <f>SUM(F28:H28)/SUM(D28)</f>
        <v>3.109404990403071E-2</v>
      </c>
      <c r="O40" s="430"/>
      <c r="P40" s="418"/>
    </row>
    <row r="41" spans="1:17" s="419" customFormat="1" x14ac:dyDescent="0.3">
      <c r="A41" s="427"/>
      <c r="B41" s="428" t="s">
        <v>157</v>
      </c>
      <c r="C41" s="428"/>
      <c r="D41" s="428"/>
      <c r="E41" s="428"/>
      <c r="F41" s="428"/>
      <c r="G41" s="428"/>
      <c r="H41" s="428"/>
      <c r="I41" s="428"/>
      <c r="J41" s="428"/>
      <c r="K41" s="428"/>
      <c r="L41" s="428"/>
      <c r="M41" s="428"/>
      <c r="N41" s="446" t="s">
        <v>117</v>
      </c>
      <c r="O41" s="430"/>
      <c r="P41" s="418"/>
    </row>
    <row r="42" spans="1:17" s="419" customFormat="1" x14ac:dyDescent="0.3">
      <c r="A42" s="427"/>
      <c r="B42" s="428" t="s">
        <v>158</v>
      </c>
      <c r="C42" s="428"/>
      <c r="D42" s="428"/>
      <c r="E42" s="428"/>
      <c r="F42" s="428"/>
      <c r="G42" s="428"/>
      <c r="H42" s="428"/>
      <c r="I42" s="428"/>
      <c r="J42" s="428"/>
      <c r="K42" s="428"/>
      <c r="L42" s="434" t="s">
        <v>103</v>
      </c>
      <c r="M42" s="434" t="s">
        <v>109</v>
      </c>
      <c r="N42" s="436">
        <f>+N28/2-SUM(F28:H28)</f>
        <v>126200</v>
      </c>
      <c r="O42" s="430"/>
      <c r="P42" s="418"/>
    </row>
    <row r="43" spans="1:17" s="419" customFormat="1" x14ac:dyDescent="0.3">
      <c r="A43" s="427"/>
      <c r="B43" s="428"/>
      <c r="C43" s="428"/>
      <c r="D43" s="428"/>
      <c r="E43" s="428"/>
      <c r="F43" s="428"/>
      <c r="G43" s="428"/>
      <c r="H43" s="428"/>
      <c r="I43" s="428"/>
      <c r="J43" s="428"/>
      <c r="K43" s="428"/>
      <c r="L43" s="428"/>
      <c r="M43" s="428"/>
      <c r="N43" s="450"/>
      <c r="O43" s="430"/>
      <c r="P43" s="418"/>
    </row>
    <row r="44" spans="1:17" s="419" customFormat="1" x14ac:dyDescent="0.3">
      <c r="A44" s="427"/>
      <c r="B44" s="428" t="s">
        <v>198</v>
      </c>
      <c r="C44" s="428"/>
      <c r="D44" s="428"/>
      <c r="E44" s="428"/>
      <c r="F44" s="428"/>
      <c r="G44" s="428"/>
      <c r="H44" s="428"/>
      <c r="I44" s="428"/>
      <c r="J44" s="428"/>
      <c r="K44" s="428"/>
      <c r="L44" s="434"/>
      <c r="M44" s="434"/>
      <c r="N44" s="451" t="s">
        <v>111</v>
      </c>
      <c r="O44" s="430"/>
      <c r="P44" s="418"/>
    </row>
    <row r="45" spans="1:17" s="419" customFormat="1" x14ac:dyDescent="0.3">
      <c r="A45" s="427"/>
      <c r="B45" s="433" t="s">
        <v>168</v>
      </c>
      <c r="C45" s="433"/>
      <c r="D45" s="433"/>
      <c r="E45" s="433"/>
      <c r="F45" s="433"/>
      <c r="G45" s="433"/>
      <c r="H45" s="433"/>
      <c r="I45" s="433"/>
      <c r="J45" s="433"/>
      <c r="K45" s="433"/>
      <c r="L45" s="452"/>
      <c r="M45" s="452"/>
      <c r="N45" s="453">
        <v>43633</v>
      </c>
      <c r="O45" s="430"/>
      <c r="P45" s="418"/>
    </row>
    <row r="46" spans="1:17" s="419" customFormat="1" x14ac:dyDescent="0.3">
      <c r="A46" s="427"/>
      <c r="B46" s="428" t="s">
        <v>119</v>
      </c>
      <c r="C46" s="428"/>
      <c r="D46" s="454"/>
      <c r="E46" s="454"/>
      <c r="F46" s="454"/>
      <c r="G46" s="454"/>
      <c r="H46" s="454"/>
      <c r="I46" s="454"/>
      <c r="J46" s="428">
        <f>+N46-L46+1</f>
        <v>88</v>
      </c>
      <c r="K46" s="454"/>
      <c r="L46" s="455">
        <v>43451</v>
      </c>
      <c r="M46" s="456"/>
      <c r="N46" s="455">
        <v>43538</v>
      </c>
      <c r="O46" s="430"/>
      <c r="P46" s="418"/>
    </row>
    <row r="47" spans="1:17" s="419" customFormat="1" x14ac:dyDescent="0.3">
      <c r="A47" s="427"/>
      <c r="B47" s="428" t="s">
        <v>120</v>
      </c>
      <c r="C47" s="428"/>
      <c r="D47" s="428"/>
      <c r="E47" s="428"/>
      <c r="F47" s="428"/>
      <c r="G47" s="428"/>
      <c r="H47" s="428"/>
      <c r="I47" s="428"/>
      <c r="J47" s="428">
        <f>+N47-L47+1</f>
        <v>94</v>
      </c>
      <c r="K47" s="428"/>
      <c r="L47" s="455">
        <v>43539</v>
      </c>
      <c r="M47" s="456"/>
      <c r="N47" s="455">
        <v>43632</v>
      </c>
      <c r="O47" s="430"/>
      <c r="P47" s="418"/>
    </row>
    <row r="48" spans="1:17" s="419" customFormat="1" x14ac:dyDescent="0.3">
      <c r="A48" s="427"/>
      <c r="B48" s="428" t="s">
        <v>199</v>
      </c>
      <c r="C48" s="428"/>
      <c r="D48" s="428"/>
      <c r="E48" s="428"/>
      <c r="F48" s="428"/>
      <c r="G48" s="428"/>
      <c r="H48" s="428"/>
      <c r="I48" s="428"/>
      <c r="J48" s="428"/>
      <c r="K48" s="428"/>
      <c r="L48" s="455"/>
      <c r="M48" s="456"/>
      <c r="N48" s="455" t="s">
        <v>143</v>
      </c>
      <c r="O48" s="430"/>
      <c r="P48" s="418"/>
      <c r="Q48" s="457"/>
    </row>
    <row r="49" spans="1:16" s="419" customFormat="1" x14ac:dyDescent="0.3">
      <c r="A49" s="427"/>
      <c r="B49" s="428" t="s">
        <v>14</v>
      </c>
      <c r="C49" s="428"/>
      <c r="D49" s="428"/>
      <c r="E49" s="428"/>
      <c r="F49" s="428"/>
      <c r="G49" s="428"/>
      <c r="H49" s="428"/>
      <c r="I49" s="428"/>
      <c r="J49" s="428"/>
      <c r="K49" s="428"/>
      <c r="L49" s="455"/>
      <c r="M49" s="456"/>
      <c r="N49" s="455">
        <v>43619</v>
      </c>
      <c r="O49" s="430"/>
      <c r="P49" s="418"/>
    </row>
    <row r="50" spans="1:16" s="419" customFormat="1" x14ac:dyDescent="0.3">
      <c r="A50" s="415"/>
      <c r="B50" s="458"/>
      <c r="C50" s="458"/>
      <c r="D50" s="458"/>
      <c r="E50" s="458"/>
      <c r="F50" s="458"/>
      <c r="G50" s="458"/>
      <c r="H50" s="458"/>
      <c r="I50" s="458"/>
      <c r="J50" s="458"/>
      <c r="K50" s="458"/>
      <c r="L50" s="459"/>
      <c r="M50" s="460"/>
      <c r="N50" s="459"/>
      <c r="O50" s="458"/>
      <c r="P50" s="418"/>
    </row>
    <row r="51" spans="1:16" s="419" customFormat="1" x14ac:dyDescent="0.3">
      <c r="A51" s="415"/>
      <c r="B51" s="416"/>
      <c r="C51" s="416"/>
      <c r="D51" s="416"/>
      <c r="E51" s="416"/>
      <c r="F51" s="416"/>
      <c r="G51" s="416"/>
      <c r="H51" s="416"/>
      <c r="I51" s="416"/>
      <c r="J51" s="416"/>
      <c r="K51" s="416"/>
      <c r="L51" s="461"/>
      <c r="M51" s="462"/>
      <c r="N51" s="461"/>
      <c r="O51" s="416"/>
      <c r="P51" s="418"/>
    </row>
    <row r="52" spans="1:16" s="419" customFormat="1" ht="18.600000000000001" thickBot="1" x14ac:dyDescent="0.4">
      <c r="A52" s="463"/>
      <c r="B52" s="464" t="s">
        <v>303</v>
      </c>
      <c r="C52" s="465"/>
      <c r="D52" s="465"/>
      <c r="E52" s="465"/>
      <c r="F52" s="465"/>
      <c r="G52" s="465"/>
      <c r="H52" s="465"/>
      <c r="I52" s="465"/>
      <c r="J52" s="465"/>
      <c r="K52" s="465"/>
      <c r="L52" s="465"/>
      <c r="M52" s="465"/>
      <c r="N52" s="466"/>
      <c r="O52" s="467"/>
      <c r="P52" s="418"/>
    </row>
    <row r="53" spans="1:16" x14ac:dyDescent="0.3">
      <c r="A53" s="585"/>
      <c r="B53" s="595" t="s">
        <v>15</v>
      </c>
      <c r="C53" s="586"/>
      <c r="D53" s="586"/>
      <c r="E53" s="586"/>
      <c r="F53" s="586"/>
      <c r="G53" s="586"/>
      <c r="H53" s="586"/>
      <c r="I53" s="586"/>
      <c r="J53" s="586"/>
      <c r="K53" s="586"/>
      <c r="L53" s="586"/>
      <c r="M53" s="586"/>
      <c r="N53" s="596"/>
      <c r="O53" s="586"/>
      <c r="P53" s="402"/>
    </row>
    <row r="54" spans="1:16" x14ac:dyDescent="0.3">
      <c r="A54" s="404"/>
      <c r="B54" s="413"/>
      <c r="C54" s="406"/>
      <c r="D54" s="406"/>
      <c r="E54" s="406"/>
      <c r="F54" s="406"/>
      <c r="G54" s="406"/>
      <c r="H54" s="406"/>
      <c r="I54" s="406"/>
      <c r="J54" s="406"/>
      <c r="K54" s="406"/>
      <c r="L54" s="406"/>
      <c r="M54" s="406"/>
      <c r="N54" s="468"/>
      <c r="O54" s="406"/>
      <c r="P54" s="402"/>
    </row>
    <row r="55" spans="1:16" s="569" customFormat="1" ht="46.8" x14ac:dyDescent="0.3">
      <c r="A55" s="572"/>
      <c r="B55" s="573" t="s">
        <v>16</v>
      </c>
      <c r="C55" s="574"/>
      <c r="D55" s="574" t="s">
        <v>91</v>
      </c>
      <c r="E55" s="574"/>
      <c r="F55" s="574" t="s">
        <v>93</v>
      </c>
      <c r="G55" s="574"/>
      <c r="H55" s="574" t="s">
        <v>95</v>
      </c>
      <c r="I55" s="574"/>
      <c r="J55" s="574" t="s">
        <v>97</v>
      </c>
      <c r="K55" s="574"/>
      <c r="L55" s="574" t="s">
        <v>104</v>
      </c>
      <c r="M55" s="574"/>
      <c r="N55" s="575" t="s">
        <v>112</v>
      </c>
      <c r="O55" s="576"/>
      <c r="P55" s="568"/>
    </row>
    <row r="56" spans="1:16" s="419" customFormat="1" x14ac:dyDescent="0.3">
      <c r="A56" s="427"/>
      <c r="B56" s="428" t="s">
        <v>17</v>
      </c>
      <c r="C56" s="469"/>
      <c r="D56" s="469">
        <v>268565</v>
      </c>
      <c r="E56" s="469"/>
      <c r="F56" s="470">
        <v>10052</v>
      </c>
      <c r="G56" s="469"/>
      <c r="H56" s="469">
        <v>10052</v>
      </c>
      <c r="I56" s="469"/>
      <c r="J56" s="469">
        <v>0</v>
      </c>
      <c r="K56" s="469"/>
      <c r="L56" s="469">
        <v>0</v>
      </c>
      <c r="M56" s="469"/>
      <c r="N56" s="470">
        <f>+F56-H56+J56-L56</f>
        <v>0</v>
      </c>
      <c r="O56" s="430"/>
      <c r="P56" s="418"/>
    </row>
    <row r="57" spans="1:16" s="419" customFormat="1" x14ac:dyDescent="0.3">
      <c r="A57" s="427"/>
      <c r="B57" s="428" t="s">
        <v>209</v>
      </c>
      <c r="C57" s="469"/>
      <c r="D57" s="469">
        <v>756</v>
      </c>
      <c r="E57" s="469"/>
      <c r="F57" s="470">
        <v>36</v>
      </c>
      <c r="G57" s="469"/>
      <c r="H57" s="469">
        <v>36</v>
      </c>
      <c r="I57" s="469"/>
      <c r="J57" s="469">
        <v>0</v>
      </c>
      <c r="K57" s="469"/>
      <c r="L57" s="469">
        <v>0</v>
      </c>
      <c r="M57" s="469"/>
      <c r="N57" s="470">
        <f>+F57-H57</f>
        <v>0</v>
      </c>
      <c r="O57" s="430"/>
      <c r="P57" s="418"/>
    </row>
    <row r="58" spans="1:16" s="419" customFormat="1" x14ac:dyDescent="0.3">
      <c r="A58" s="427"/>
      <c r="B58" s="428"/>
      <c r="C58" s="469"/>
      <c r="D58" s="469"/>
      <c r="E58" s="469"/>
      <c r="F58" s="470"/>
      <c r="G58" s="469"/>
      <c r="H58" s="469"/>
      <c r="I58" s="469"/>
      <c r="J58" s="469"/>
      <c r="K58" s="469"/>
      <c r="L58" s="469"/>
      <c r="M58" s="469"/>
      <c r="N58" s="470"/>
      <c r="O58" s="430"/>
      <c r="P58" s="418"/>
    </row>
    <row r="59" spans="1:16" s="419" customFormat="1" x14ac:dyDescent="0.3">
      <c r="A59" s="427"/>
      <c r="B59" s="428" t="s">
        <v>19</v>
      </c>
      <c r="C59" s="469"/>
      <c r="D59" s="469">
        <f>SUM(D56:D58)</f>
        <v>269321</v>
      </c>
      <c r="E59" s="469"/>
      <c r="F59" s="469">
        <f>F56+F57</f>
        <v>10088</v>
      </c>
      <c r="G59" s="469"/>
      <c r="H59" s="469">
        <f>SUM(H56:H58)</f>
        <v>10088</v>
      </c>
      <c r="I59" s="469"/>
      <c r="J59" s="469">
        <f>SUM(J56:J58)</f>
        <v>0</v>
      </c>
      <c r="K59" s="469"/>
      <c r="L59" s="469">
        <f>SUM(L56:L58)</f>
        <v>0</v>
      </c>
      <c r="M59" s="469"/>
      <c r="N59" s="469">
        <f>SUM(N56:N58)</f>
        <v>0</v>
      </c>
      <c r="O59" s="430"/>
      <c r="P59" s="418"/>
    </row>
    <row r="60" spans="1:16" x14ac:dyDescent="0.3">
      <c r="A60" s="404"/>
      <c r="B60" s="471"/>
      <c r="C60" s="472"/>
      <c r="D60" s="472"/>
      <c r="E60" s="472"/>
      <c r="F60" s="472"/>
      <c r="G60" s="472"/>
      <c r="H60" s="472"/>
      <c r="I60" s="472"/>
      <c r="J60" s="472"/>
      <c r="K60" s="472"/>
      <c r="L60" s="472"/>
      <c r="M60" s="472"/>
      <c r="N60" s="473"/>
      <c r="O60" s="471"/>
      <c r="P60" s="402"/>
    </row>
    <row r="61" spans="1:16" x14ac:dyDescent="0.3">
      <c r="A61" s="404"/>
      <c r="B61" s="408" t="s">
        <v>20</v>
      </c>
      <c r="C61" s="474"/>
      <c r="D61" s="474"/>
      <c r="E61" s="474"/>
      <c r="F61" s="474"/>
      <c r="G61" s="474"/>
      <c r="H61" s="474"/>
      <c r="I61" s="474"/>
      <c r="J61" s="474"/>
      <c r="K61" s="474"/>
      <c r="L61" s="474"/>
      <c r="M61" s="474"/>
      <c r="N61" s="475"/>
      <c r="O61" s="406"/>
      <c r="P61" s="402"/>
    </row>
    <row r="62" spans="1:16" x14ac:dyDescent="0.3">
      <c r="A62" s="404"/>
      <c r="B62" s="406"/>
      <c r="C62" s="474"/>
      <c r="D62" s="474"/>
      <c r="E62" s="474"/>
      <c r="F62" s="474"/>
      <c r="G62" s="474"/>
      <c r="H62" s="474"/>
      <c r="I62" s="474"/>
      <c r="J62" s="474"/>
      <c r="K62" s="474"/>
      <c r="L62" s="474"/>
      <c r="M62" s="474"/>
      <c r="N62" s="475"/>
      <c r="O62" s="406"/>
      <c r="P62" s="402"/>
    </row>
    <row r="63" spans="1:16" s="419" customFormat="1" x14ac:dyDescent="0.3">
      <c r="A63" s="427"/>
      <c r="B63" s="428" t="s">
        <v>17</v>
      </c>
      <c r="C63" s="469"/>
      <c r="D63" s="469"/>
      <c r="E63" s="469"/>
      <c r="F63" s="469"/>
      <c r="G63" s="469"/>
      <c r="H63" s="469"/>
      <c r="I63" s="469"/>
      <c r="J63" s="469"/>
      <c r="K63" s="469"/>
      <c r="L63" s="469"/>
      <c r="M63" s="469"/>
      <c r="N63" s="469"/>
      <c r="O63" s="430"/>
      <c r="P63" s="418"/>
    </row>
    <row r="64" spans="1:16" s="419" customFormat="1" x14ac:dyDescent="0.3">
      <c r="A64" s="427"/>
      <c r="B64" s="428" t="s">
        <v>18</v>
      </c>
      <c r="C64" s="469"/>
      <c r="D64" s="469"/>
      <c r="E64" s="469"/>
      <c r="F64" s="469"/>
      <c r="G64" s="469"/>
      <c r="H64" s="469"/>
      <c r="I64" s="469"/>
      <c r="J64" s="469"/>
      <c r="K64" s="469"/>
      <c r="L64" s="469"/>
      <c r="M64" s="469"/>
      <c r="N64" s="469"/>
      <c r="O64" s="430"/>
      <c r="P64" s="418"/>
    </row>
    <row r="65" spans="1:16" s="419" customFormat="1" x14ac:dyDescent="0.3">
      <c r="A65" s="427"/>
      <c r="B65" s="428"/>
      <c r="C65" s="469"/>
      <c r="D65" s="469"/>
      <c r="E65" s="469"/>
      <c r="F65" s="469"/>
      <c r="G65" s="469"/>
      <c r="H65" s="469"/>
      <c r="I65" s="469"/>
      <c r="J65" s="469"/>
      <c r="K65" s="469"/>
      <c r="L65" s="469"/>
      <c r="M65" s="469"/>
      <c r="N65" s="469"/>
      <c r="O65" s="430"/>
      <c r="P65" s="418"/>
    </row>
    <row r="66" spans="1:16" s="419" customFormat="1" x14ac:dyDescent="0.3">
      <c r="A66" s="427"/>
      <c r="B66" s="428" t="s">
        <v>19</v>
      </c>
      <c r="C66" s="469"/>
      <c r="D66" s="469"/>
      <c r="E66" s="469"/>
      <c r="F66" s="469"/>
      <c r="G66" s="469"/>
      <c r="H66" s="469"/>
      <c r="I66" s="469"/>
      <c r="J66" s="469"/>
      <c r="K66" s="469"/>
      <c r="L66" s="469"/>
      <c r="M66" s="469"/>
      <c r="N66" s="469"/>
      <c r="O66" s="430"/>
      <c r="P66" s="418"/>
    </row>
    <row r="67" spans="1:16" s="419" customFormat="1" x14ac:dyDescent="0.3">
      <c r="A67" s="427"/>
      <c r="B67" s="428"/>
      <c r="C67" s="469"/>
      <c r="D67" s="469"/>
      <c r="E67" s="469"/>
      <c r="F67" s="469"/>
      <c r="G67" s="469"/>
      <c r="H67" s="469"/>
      <c r="I67" s="469"/>
      <c r="J67" s="469"/>
      <c r="K67" s="469"/>
      <c r="L67" s="469"/>
      <c r="M67" s="469"/>
      <c r="N67" s="469"/>
      <c r="O67" s="430"/>
      <c r="P67" s="418"/>
    </row>
    <row r="68" spans="1:16" s="419" customFormat="1" x14ac:dyDescent="0.3">
      <c r="A68" s="427"/>
      <c r="B68" s="428" t="s">
        <v>209</v>
      </c>
      <c r="C68" s="469"/>
      <c r="D68" s="469">
        <v>-756</v>
      </c>
      <c r="E68" s="469"/>
      <c r="F68" s="469">
        <v>-36</v>
      </c>
      <c r="G68" s="469"/>
      <c r="H68" s="469"/>
      <c r="I68" s="469"/>
      <c r="J68" s="469"/>
      <c r="K68" s="469"/>
      <c r="L68" s="469"/>
      <c r="M68" s="469"/>
      <c r="N68" s="470">
        <f>-N57</f>
        <v>0</v>
      </c>
      <c r="O68" s="430"/>
      <c r="P68" s="418"/>
    </row>
    <row r="69" spans="1:16" s="419" customFormat="1" x14ac:dyDescent="0.3">
      <c r="A69" s="427"/>
      <c r="B69" s="428" t="s">
        <v>21</v>
      </c>
      <c r="C69" s="469"/>
      <c r="D69" s="469">
        <v>0</v>
      </c>
      <c r="E69" s="469"/>
      <c r="F69" s="469">
        <v>0</v>
      </c>
      <c r="G69" s="469"/>
      <c r="H69" s="469"/>
      <c r="I69" s="469"/>
      <c r="J69" s="469"/>
      <c r="K69" s="469"/>
      <c r="L69" s="469"/>
      <c r="M69" s="469"/>
      <c r="N69" s="469">
        <f>SUM(D69:J69)</f>
        <v>0</v>
      </c>
      <c r="O69" s="430"/>
      <c r="P69" s="418"/>
    </row>
    <row r="70" spans="1:16" s="419" customFormat="1" x14ac:dyDescent="0.3">
      <c r="A70" s="427"/>
      <c r="B70" s="428" t="s">
        <v>210</v>
      </c>
      <c r="C70" s="469"/>
      <c r="D70" s="469">
        <v>35</v>
      </c>
      <c r="E70" s="469"/>
      <c r="F70" s="469">
        <v>0</v>
      </c>
      <c r="G70" s="469"/>
      <c r="H70" s="469">
        <v>0</v>
      </c>
      <c r="I70" s="469"/>
      <c r="J70" s="469"/>
      <c r="K70" s="469"/>
      <c r="L70" s="469"/>
      <c r="M70" s="469"/>
      <c r="N70" s="469">
        <f>+F70+H70</f>
        <v>0</v>
      </c>
      <c r="O70" s="430"/>
      <c r="P70" s="418"/>
    </row>
    <row r="71" spans="1:16" s="419" customFormat="1" x14ac:dyDescent="0.3">
      <c r="A71" s="427"/>
      <c r="B71" s="428" t="s">
        <v>23</v>
      </c>
      <c r="C71" s="469"/>
      <c r="D71" s="469">
        <v>0</v>
      </c>
      <c r="E71" s="469"/>
      <c r="F71" s="469">
        <v>0</v>
      </c>
      <c r="G71" s="469"/>
      <c r="H71" s="469"/>
      <c r="I71" s="469"/>
      <c r="J71" s="469"/>
      <c r="K71" s="469"/>
      <c r="L71" s="469"/>
      <c r="M71" s="469"/>
      <c r="N71" s="469">
        <v>0</v>
      </c>
      <c r="O71" s="430"/>
      <c r="P71" s="418"/>
    </row>
    <row r="72" spans="1:16" s="419" customFormat="1" x14ac:dyDescent="0.3">
      <c r="A72" s="427"/>
      <c r="B72" s="428" t="s">
        <v>24</v>
      </c>
      <c r="C72" s="469"/>
      <c r="D72" s="469">
        <f>SUM(D59:D71)</f>
        <v>268600</v>
      </c>
      <c r="E72" s="469"/>
      <c r="F72" s="469">
        <f>SUM(F59:F71)</f>
        <v>10052</v>
      </c>
      <c r="G72" s="469"/>
      <c r="H72" s="469"/>
      <c r="I72" s="469"/>
      <c r="J72" s="469"/>
      <c r="K72" s="469"/>
      <c r="L72" s="469"/>
      <c r="M72" s="469"/>
      <c r="N72" s="469">
        <f>SUM(N59:N71)</f>
        <v>0</v>
      </c>
      <c r="O72" s="430"/>
      <c r="P72" s="418"/>
    </row>
    <row r="73" spans="1:16" x14ac:dyDescent="0.3">
      <c r="A73" s="404"/>
      <c r="B73" s="476"/>
      <c r="C73" s="477"/>
      <c r="D73" s="477"/>
      <c r="E73" s="477"/>
      <c r="F73" s="477"/>
      <c r="G73" s="477"/>
      <c r="H73" s="477"/>
      <c r="I73" s="477"/>
      <c r="J73" s="477"/>
      <c r="K73" s="477"/>
      <c r="L73" s="477"/>
      <c r="M73" s="477"/>
      <c r="N73" s="477"/>
      <c r="O73" s="476"/>
      <c r="P73" s="402"/>
    </row>
    <row r="74" spans="1:16" x14ac:dyDescent="0.3">
      <c r="A74" s="404"/>
      <c r="B74" s="478"/>
      <c r="C74" s="478"/>
      <c r="D74" s="478"/>
      <c r="E74" s="478"/>
      <c r="F74" s="478"/>
      <c r="G74" s="478"/>
      <c r="H74" s="478"/>
      <c r="I74" s="478"/>
      <c r="J74" s="478"/>
      <c r="K74" s="478"/>
      <c r="L74" s="478"/>
      <c r="M74" s="478"/>
      <c r="N74" s="478"/>
      <c r="O74" s="478"/>
      <c r="P74" s="402"/>
    </row>
    <row r="75" spans="1:16" x14ac:dyDescent="0.3">
      <c r="A75" s="585"/>
      <c r="B75" s="599" t="s">
        <v>25</v>
      </c>
      <c r="C75" s="599"/>
      <c r="D75" s="600" t="s">
        <v>92</v>
      </c>
      <c r="E75" s="601"/>
      <c r="F75" s="602">
        <f>+L185</f>
        <v>43616</v>
      </c>
      <c r="G75" s="601"/>
      <c r="H75" s="601"/>
      <c r="I75" s="601"/>
      <c r="J75" s="601"/>
      <c r="K75" s="601"/>
      <c r="L75" s="601" t="s">
        <v>105</v>
      </c>
      <c r="M75" s="601"/>
      <c r="N75" s="601" t="s">
        <v>113</v>
      </c>
      <c r="O75" s="594"/>
      <c r="P75" s="402"/>
    </row>
    <row r="76" spans="1:16" s="419" customFormat="1" x14ac:dyDescent="0.3">
      <c r="A76" s="587"/>
      <c r="B76" s="588" t="s">
        <v>26</v>
      </c>
      <c r="C76" s="588"/>
      <c r="D76" s="588"/>
      <c r="E76" s="588"/>
      <c r="F76" s="588"/>
      <c r="G76" s="588"/>
      <c r="H76" s="588"/>
      <c r="I76" s="588"/>
      <c r="J76" s="588"/>
      <c r="K76" s="588"/>
      <c r="L76" s="597">
        <v>0</v>
      </c>
      <c r="M76" s="588"/>
      <c r="N76" s="598">
        <v>0</v>
      </c>
      <c r="O76" s="590"/>
      <c r="P76" s="418"/>
    </row>
    <row r="77" spans="1:16" s="419" customFormat="1" x14ac:dyDescent="0.3">
      <c r="A77" s="427"/>
      <c r="B77" s="428" t="s">
        <v>27</v>
      </c>
      <c r="C77" s="428"/>
      <c r="D77" s="449"/>
      <c r="E77" s="428"/>
      <c r="F77" s="479"/>
      <c r="G77" s="428"/>
      <c r="H77" s="428"/>
      <c r="I77" s="428"/>
      <c r="J77" s="428"/>
      <c r="K77" s="428"/>
      <c r="L77" s="469">
        <v>10052</v>
      </c>
      <c r="M77" s="428"/>
      <c r="N77" s="470"/>
      <c r="O77" s="430"/>
      <c r="P77" s="418"/>
    </row>
    <row r="78" spans="1:16" s="419" customFormat="1" x14ac:dyDescent="0.3">
      <c r="A78" s="427"/>
      <c r="B78" s="428" t="s">
        <v>176</v>
      </c>
      <c r="C78" s="428"/>
      <c r="D78" s="449"/>
      <c r="E78" s="428"/>
      <c r="F78" s="479"/>
      <c r="G78" s="428"/>
      <c r="H78" s="428"/>
      <c r="I78" s="428"/>
      <c r="J78" s="428"/>
      <c r="K78" s="428"/>
      <c r="L78" s="469"/>
      <c r="M78" s="428"/>
      <c r="N78" s="470">
        <f>249+41+47-158-26-32</f>
        <v>121</v>
      </c>
      <c r="O78" s="430"/>
      <c r="P78" s="418"/>
    </row>
    <row r="79" spans="1:16" s="419" customFormat="1" x14ac:dyDescent="0.3">
      <c r="A79" s="427"/>
      <c r="B79" s="428" t="s">
        <v>174</v>
      </c>
      <c r="C79" s="428"/>
      <c r="D79" s="449"/>
      <c r="E79" s="428"/>
      <c r="F79" s="479"/>
      <c r="G79" s="428"/>
      <c r="H79" s="428"/>
      <c r="I79" s="428"/>
      <c r="J79" s="428"/>
      <c r="K79" s="428"/>
      <c r="L79" s="469"/>
      <c r="M79" s="428"/>
      <c r="N79" s="470">
        <v>8</v>
      </c>
      <c r="O79" s="430"/>
      <c r="P79" s="418"/>
    </row>
    <row r="80" spans="1:16" s="419" customFormat="1" x14ac:dyDescent="0.3">
      <c r="A80" s="427"/>
      <c r="B80" s="428" t="s">
        <v>175</v>
      </c>
      <c r="C80" s="428"/>
      <c r="D80" s="449"/>
      <c r="E80" s="428"/>
      <c r="F80" s="479"/>
      <c r="G80" s="428"/>
      <c r="H80" s="428"/>
      <c r="I80" s="428"/>
      <c r="J80" s="428"/>
      <c r="K80" s="428"/>
      <c r="L80" s="469"/>
      <c r="M80" s="428"/>
      <c r="N80" s="470">
        <v>3</v>
      </c>
      <c r="O80" s="430"/>
      <c r="P80" s="418"/>
    </row>
    <row r="81" spans="1:17" s="419" customFormat="1" x14ac:dyDescent="0.3">
      <c r="A81" s="427"/>
      <c r="B81" s="428" t="s">
        <v>131</v>
      </c>
      <c r="C81" s="428"/>
      <c r="D81" s="428"/>
      <c r="E81" s="428"/>
      <c r="F81" s="428"/>
      <c r="G81" s="428"/>
      <c r="H81" s="428"/>
      <c r="I81" s="428"/>
      <c r="J81" s="428"/>
      <c r="K81" s="428"/>
      <c r="L81" s="469"/>
      <c r="M81" s="428"/>
      <c r="N81" s="470">
        <v>0</v>
      </c>
      <c r="O81" s="430"/>
      <c r="P81" s="418"/>
    </row>
    <row r="82" spans="1:17" s="419" customFormat="1" x14ac:dyDescent="0.3">
      <c r="A82" s="427"/>
      <c r="B82" s="428" t="s">
        <v>211</v>
      </c>
      <c r="C82" s="428"/>
      <c r="D82" s="428"/>
      <c r="E82" s="428"/>
      <c r="F82" s="428"/>
      <c r="G82" s="428"/>
      <c r="H82" s="428"/>
      <c r="I82" s="428"/>
      <c r="J82" s="428"/>
      <c r="K82" s="428"/>
      <c r="L82" s="469"/>
      <c r="M82" s="428"/>
      <c r="N82" s="470">
        <v>0</v>
      </c>
      <c r="O82" s="430"/>
      <c r="P82" s="418"/>
    </row>
    <row r="83" spans="1:17" s="419" customFormat="1" x14ac:dyDescent="0.3">
      <c r="A83" s="427"/>
      <c r="B83" s="428" t="s">
        <v>28</v>
      </c>
      <c r="C83" s="428"/>
      <c r="D83" s="428"/>
      <c r="E83" s="428"/>
      <c r="F83" s="428"/>
      <c r="G83" s="428"/>
      <c r="H83" s="428"/>
      <c r="I83" s="428"/>
      <c r="J83" s="428"/>
      <c r="K83" s="428"/>
      <c r="L83" s="469">
        <f>SUM(L76:L82)</f>
        <v>10052</v>
      </c>
      <c r="M83" s="428"/>
      <c r="N83" s="469">
        <f>SUM(N76:N82)</f>
        <v>132</v>
      </c>
      <c r="O83" s="430"/>
      <c r="P83" s="418"/>
    </row>
    <row r="84" spans="1:17" s="419" customFormat="1" x14ac:dyDescent="0.3">
      <c r="A84" s="427"/>
      <c r="B84" s="428" t="s">
        <v>148</v>
      </c>
      <c r="C84" s="428"/>
      <c r="D84" s="428"/>
      <c r="E84" s="428"/>
      <c r="F84" s="428"/>
      <c r="G84" s="428"/>
      <c r="H84" s="428"/>
      <c r="I84" s="428"/>
      <c r="J84" s="428"/>
      <c r="K84" s="428"/>
      <c r="L84" s="469">
        <v>0</v>
      </c>
      <c r="M84" s="428"/>
      <c r="N84" s="469">
        <f>-L84</f>
        <v>0</v>
      </c>
      <c r="O84" s="430"/>
      <c r="P84" s="418"/>
    </row>
    <row r="85" spans="1:17" s="419" customFormat="1" x14ac:dyDescent="0.3">
      <c r="A85" s="427"/>
      <c r="B85" s="428" t="s">
        <v>29</v>
      </c>
      <c r="C85" s="428"/>
      <c r="D85" s="428"/>
      <c r="E85" s="428"/>
      <c r="F85" s="428"/>
      <c r="G85" s="428"/>
      <c r="H85" s="428"/>
      <c r="I85" s="428"/>
      <c r="J85" s="428"/>
      <c r="K85" s="428"/>
      <c r="L85" s="469">
        <f>-N85</f>
        <v>0</v>
      </c>
      <c r="M85" s="428"/>
      <c r="N85" s="470">
        <v>0</v>
      </c>
      <c r="O85" s="430"/>
      <c r="P85" s="418"/>
    </row>
    <row r="86" spans="1:17" s="419" customFormat="1" x14ac:dyDescent="0.3">
      <c r="A86" s="427"/>
      <c r="B86" s="428" t="s">
        <v>244</v>
      </c>
      <c r="C86" s="428"/>
      <c r="D86" s="428"/>
      <c r="E86" s="428"/>
      <c r="F86" s="428"/>
      <c r="G86" s="428"/>
      <c r="H86" s="428"/>
      <c r="I86" s="428"/>
      <c r="J86" s="428"/>
      <c r="K86" s="428"/>
      <c r="L86" s="469"/>
      <c r="M86" s="428"/>
      <c r="N86" s="470">
        <v>0</v>
      </c>
      <c r="O86" s="430"/>
      <c r="P86" s="418"/>
    </row>
    <row r="87" spans="1:17" s="419" customFormat="1" x14ac:dyDescent="0.3">
      <c r="A87" s="427"/>
      <c r="B87" s="428" t="s">
        <v>304</v>
      </c>
      <c r="C87" s="428"/>
      <c r="D87" s="428"/>
      <c r="E87" s="428"/>
      <c r="F87" s="428"/>
      <c r="G87" s="428"/>
      <c r="H87" s="428"/>
      <c r="I87" s="428"/>
      <c r="J87" s="428"/>
      <c r="K87" s="428"/>
      <c r="L87" s="469"/>
      <c r="M87" s="428"/>
      <c r="N87" s="470">
        <f>-N122</f>
        <v>806</v>
      </c>
      <c r="O87" s="430"/>
      <c r="P87" s="418"/>
    </row>
    <row r="88" spans="1:17" s="419" customFormat="1" x14ac:dyDescent="0.3">
      <c r="A88" s="427"/>
      <c r="B88" s="428" t="s">
        <v>30</v>
      </c>
      <c r="C88" s="428"/>
      <c r="D88" s="428"/>
      <c r="E88" s="428"/>
      <c r="F88" s="428"/>
      <c r="G88" s="428"/>
      <c r="H88" s="428"/>
      <c r="I88" s="428"/>
      <c r="J88" s="428"/>
      <c r="K88" s="428"/>
      <c r="L88" s="469">
        <f>L83+L85+L84</f>
        <v>10052</v>
      </c>
      <c r="M88" s="428"/>
      <c r="N88" s="469">
        <f>N83+N85+N84+N86+N87</f>
        <v>938</v>
      </c>
      <c r="O88" s="430"/>
      <c r="P88" s="418"/>
    </row>
    <row r="89" spans="1:17" x14ac:dyDescent="0.3">
      <c r="A89" s="442"/>
      <c r="B89" s="577" t="s">
        <v>31</v>
      </c>
      <c r="C89" s="443"/>
      <c r="D89" s="443"/>
      <c r="E89" s="443"/>
      <c r="F89" s="443"/>
      <c r="G89" s="443"/>
      <c r="H89" s="443"/>
      <c r="I89" s="443"/>
      <c r="J89" s="443"/>
      <c r="K89" s="443"/>
      <c r="L89" s="480"/>
      <c r="M89" s="443"/>
      <c r="N89" s="481"/>
      <c r="O89" s="445"/>
      <c r="P89" s="402"/>
    </row>
    <row r="90" spans="1:17" s="419" customFormat="1" x14ac:dyDescent="0.3">
      <c r="A90" s="427">
        <v>1</v>
      </c>
      <c r="B90" s="428" t="s">
        <v>32</v>
      </c>
      <c r="C90" s="428"/>
      <c r="D90" s="428"/>
      <c r="E90" s="428"/>
      <c r="F90" s="428"/>
      <c r="G90" s="428"/>
      <c r="H90" s="428"/>
      <c r="I90" s="428"/>
      <c r="J90" s="428"/>
      <c r="K90" s="428"/>
      <c r="L90" s="428"/>
      <c r="M90" s="428"/>
      <c r="N90" s="470">
        <v>0</v>
      </c>
      <c r="O90" s="430"/>
      <c r="P90" s="418"/>
    </row>
    <row r="91" spans="1:17" s="419" customFormat="1" x14ac:dyDescent="0.3">
      <c r="A91" s="427">
        <f>+A90+1</f>
        <v>2</v>
      </c>
      <c r="B91" s="428" t="s">
        <v>224</v>
      </c>
      <c r="C91" s="428"/>
      <c r="D91" s="428"/>
      <c r="E91" s="428"/>
      <c r="F91" s="428"/>
      <c r="G91" s="428"/>
      <c r="H91" s="428"/>
      <c r="I91" s="428"/>
      <c r="J91" s="428"/>
      <c r="K91" s="428"/>
      <c r="L91" s="428"/>
      <c r="M91" s="428"/>
      <c r="N91" s="470">
        <v>-2</v>
      </c>
      <c r="O91" s="430"/>
      <c r="P91" s="418"/>
    </row>
    <row r="92" spans="1:17" s="419" customFormat="1" x14ac:dyDescent="0.3">
      <c r="A92" s="427">
        <f>+A91+1</f>
        <v>3</v>
      </c>
      <c r="B92" s="428" t="s">
        <v>235</v>
      </c>
      <c r="C92" s="428"/>
      <c r="D92" s="428"/>
      <c r="E92" s="428"/>
      <c r="F92" s="428"/>
      <c r="G92" s="428"/>
      <c r="H92" s="428"/>
      <c r="I92" s="428"/>
      <c r="J92" s="428"/>
      <c r="K92" s="428"/>
      <c r="L92" s="428"/>
      <c r="M92" s="428"/>
      <c r="N92" s="470">
        <f>-3-18</f>
        <v>-21</v>
      </c>
      <c r="O92" s="430"/>
      <c r="P92" s="418"/>
    </row>
    <row r="93" spans="1:17" s="419" customFormat="1" x14ac:dyDescent="0.3">
      <c r="A93" s="427" t="s">
        <v>123</v>
      </c>
      <c r="B93" s="428" t="s">
        <v>116</v>
      </c>
      <c r="C93" s="428"/>
      <c r="D93" s="428"/>
      <c r="E93" s="428"/>
      <c r="F93" s="428"/>
      <c r="G93" s="428"/>
      <c r="H93" s="428"/>
      <c r="I93" s="428"/>
      <c r="J93" s="428"/>
      <c r="K93" s="428"/>
      <c r="L93" s="428"/>
      <c r="M93" s="428"/>
      <c r="N93" s="470">
        <v>0</v>
      </c>
      <c r="O93" s="430"/>
      <c r="P93" s="418"/>
    </row>
    <row r="94" spans="1:17" s="419" customFormat="1" x14ac:dyDescent="0.3">
      <c r="A94" s="427" t="s">
        <v>124</v>
      </c>
      <c r="B94" s="428" t="s">
        <v>214</v>
      </c>
      <c r="C94" s="428"/>
      <c r="D94" s="428"/>
      <c r="E94" s="428"/>
      <c r="F94" s="428"/>
      <c r="G94" s="428"/>
      <c r="H94" s="428"/>
      <c r="I94" s="428"/>
      <c r="J94" s="428"/>
      <c r="K94" s="428"/>
      <c r="L94" s="428"/>
      <c r="M94" s="428"/>
      <c r="N94" s="470">
        <v>-19</v>
      </c>
      <c r="O94" s="430"/>
      <c r="P94" s="418"/>
    </row>
    <row r="95" spans="1:17" s="419" customFormat="1" x14ac:dyDescent="0.3">
      <c r="A95" s="427" t="s">
        <v>140</v>
      </c>
      <c r="B95" s="428" t="s">
        <v>180</v>
      </c>
      <c r="C95" s="428"/>
      <c r="D95" s="428"/>
      <c r="E95" s="428"/>
      <c r="F95" s="428"/>
      <c r="G95" s="428"/>
      <c r="H95" s="428"/>
      <c r="I95" s="428"/>
      <c r="J95" s="428"/>
      <c r="K95" s="428"/>
      <c r="L95" s="428"/>
      <c r="M95" s="428"/>
      <c r="N95" s="470">
        <v>0</v>
      </c>
      <c r="O95" s="430"/>
      <c r="P95" s="418"/>
    </row>
    <row r="96" spans="1:17" s="419" customFormat="1" x14ac:dyDescent="0.3">
      <c r="A96" s="427" t="s">
        <v>169</v>
      </c>
      <c r="B96" s="428" t="s">
        <v>215</v>
      </c>
      <c r="C96" s="428"/>
      <c r="D96" s="428"/>
      <c r="E96" s="428"/>
      <c r="F96" s="428"/>
      <c r="G96" s="428"/>
      <c r="H96" s="428"/>
      <c r="I96" s="428"/>
      <c r="J96" s="428"/>
      <c r="K96" s="428"/>
      <c r="L96" s="428"/>
      <c r="M96" s="428"/>
      <c r="N96" s="470">
        <v>-5</v>
      </c>
      <c r="O96" s="430"/>
      <c r="P96" s="418"/>
      <c r="Q96" s="482"/>
    </row>
    <row r="97" spans="1:17" s="419" customFormat="1" x14ac:dyDescent="0.3">
      <c r="A97" s="427" t="s">
        <v>170</v>
      </c>
      <c r="B97" s="428" t="s">
        <v>216</v>
      </c>
      <c r="C97" s="428"/>
      <c r="D97" s="428"/>
      <c r="E97" s="428"/>
      <c r="F97" s="428"/>
      <c r="G97" s="428"/>
      <c r="H97" s="428"/>
      <c r="I97" s="428"/>
      <c r="J97" s="428"/>
      <c r="K97" s="428"/>
      <c r="L97" s="428"/>
      <c r="M97" s="428"/>
      <c r="N97" s="470">
        <v>-6</v>
      </c>
      <c r="O97" s="430"/>
      <c r="P97" s="418"/>
      <c r="Q97" s="482"/>
    </row>
    <row r="98" spans="1:17" s="419" customFormat="1" x14ac:dyDescent="0.3">
      <c r="A98" s="427">
        <v>7</v>
      </c>
      <c r="B98" s="428" t="s">
        <v>33</v>
      </c>
      <c r="C98" s="428"/>
      <c r="D98" s="428"/>
      <c r="E98" s="428"/>
      <c r="F98" s="428"/>
      <c r="G98" s="428"/>
      <c r="H98" s="428"/>
      <c r="I98" s="428"/>
      <c r="J98" s="428"/>
      <c r="K98" s="428"/>
      <c r="L98" s="428"/>
      <c r="M98" s="428"/>
      <c r="N98" s="470">
        <v>-7</v>
      </c>
      <c r="O98" s="430"/>
      <c r="P98" s="418"/>
    </row>
    <row r="99" spans="1:17" s="419" customFormat="1" x14ac:dyDescent="0.3">
      <c r="A99" s="427">
        <f t="shared" ref="A99:A105" si="0">+A98+1</f>
        <v>8</v>
      </c>
      <c r="B99" s="428" t="s">
        <v>42</v>
      </c>
      <c r="C99" s="428"/>
      <c r="D99" s="428"/>
      <c r="E99" s="428"/>
      <c r="F99" s="428"/>
      <c r="G99" s="428"/>
      <c r="H99" s="428"/>
      <c r="I99" s="428"/>
      <c r="J99" s="428"/>
      <c r="K99" s="428"/>
      <c r="L99" s="469">
        <f>-N99</f>
        <v>0</v>
      </c>
      <c r="M99" s="428"/>
      <c r="N99" s="470">
        <v>0</v>
      </c>
      <c r="O99" s="430"/>
      <c r="P99" s="418"/>
    </row>
    <row r="100" spans="1:17" s="419" customFormat="1" x14ac:dyDescent="0.3">
      <c r="A100" s="427">
        <f t="shared" si="0"/>
        <v>9</v>
      </c>
      <c r="B100" s="428" t="s">
        <v>121</v>
      </c>
      <c r="C100" s="428"/>
      <c r="D100" s="428"/>
      <c r="E100" s="428"/>
      <c r="F100" s="428"/>
      <c r="G100" s="428"/>
      <c r="H100" s="428"/>
      <c r="I100" s="428"/>
      <c r="J100" s="428"/>
      <c r="K100" s="428"/>
      <c r="L100" s="428"/>
      <c r="M100" s="428"/>
      <c r="N100" s="470">
        <v>0</v>
      </c>
      <c r="O100" s="430"/>
      <c r="P100" s="418"/>
    </row>
    <row r="101" spans="1:17" s="419" customFormat="1" x14ac:dyDescent="0.3">
      <c r="A101" s="427">
        <f t="shared" si="0"/>
        <v>10</v>
      </c>
      <c r="B101" s="428" t="s">
        <v>182</v>
      </c>
      <c r="C101" s="428"/>
      <c r="D101" s="428"/>
      <c r="E101" s="428"/>
      <c r="F101" s="428"/>
      <c r="G101" s="428"/>
      <c r="H101" s="428"/>
      <c r="I101" s="428"/>
      <c r="J101" s="428"/>
      <c r="K101" s="428"/>
      <c r="L101" s="428"/>
      <c r="M101" s="428"/>
      <c r="N101" s="470">
        <v>0</v>
      </c>
      <c r="O101" s="430"/>
      <c r="P101" s="418"/>
    </row>
    <row r="102" spans="1:17" s="419" customFormat="1" x14ac:dyDescent="0.3">
      <c r="A102" s="427">
        <f t="shared" si="0"/>
        <v>11</v>
      </c>
      <c r="B102" s="428" t="s">
        <v>34</v>
      </c>
      <c r="C102" s="428"/>
      <c r="D102" s="428"/>
      <c r="E102" s="428"/>
      <c r="F102" s="428"/>
      <c r="G102" s="428"/>
      <c r="H102" s="428"/>
      <c r="I102" s="428"/>
      <c r="J102" s="428"/>
      <c r="K102" s="428"/>
      <c r="L102" s="428"/>
      <c r="M102" s="428"/>
      <c r="N102" s="470">
        <v>0</v>
      </c>
      <c r="O102" s="430"/>
      <c r="P102" s="418"/>
    </row>
    <row r="103" spans="1:17" s="419" customFormat="1" x14ac:dyDescent="0.3">
      <c r="A103" s="427">
        <f t="shared" si="0"/>
        <v>12</v>
      </c>
      <c r="B103" s="428" t="s">
        <v>181</v>
      </c>
      <c r="C103" s="428"/>
      <c r="D103" s="428"/>
      <c r="E103" s="428"/>
      <c r="F103" s="428"/>
      <c r="G103" s="428"/>
      <c r="H103" s="428"/>
      <c r="I103" s="428"/>
      <c r="J103" s="428"/>
      <c r="K103" s="428"/>
      <c r="L103" s="428"/>
      <c r="M103" s="428"/>
      <c r="N103" s="470">
        <v>0</v>
      </c>
      <c r="O103" s="430"/>
      <c r="P103" s="418"/>
    </row>
    <row r="104" spans="1:17" s="419" customFormat="1" x14ac:dyDescent="0.3">
      <c r="A104" s="427">
        <f t="shared" si="0"/>
        <v>13</v>
      </c>
      <c r="B104" s="428" t="s">
        <v>139</v>
      </c>
      <c r="C104" s="428"/>
      <c r="D104" s="428"/>
      <c r="E104" s="428"/>
      <c r="F104" s="428"/>
      <c r="G104" s="428"/>
      <c r="H104" s="428"/>
      <c r="I104" s="428"/>
      <c r="J104" s="428"/>
      <c r="K104" s="428"/>
      <c r="L104" s="428"/>
      <c r="M104" s="428"/>
      <c r="N104" s="470">
        <v>-4</v>
      </c>
      <c r="O104" s="430"/>
      <c r="P104" s="418"/>
    </row>
    <row r="105" spans="1:17" s="419" customFormat="1" x14ac:dyDescent="0.3">
      <c r="A105" s="427">
        <f t="shared" si="0"/>
        <v>14</v>
      </c>
      <c r="B105" s="428" t="s">
        <v>122</v>
      </c>
      <c r="C105" s="428"/>
      <c r="D105" s="428"/>
      <c r="E105" s="428"/>
      <c r="F105" s="428"/>
      <c r="G105" s="428"/>
      <c r="H105" s="428"/>
      <c r="I105" s="428"/>
      <c r="J105" s="428"/>
      <c r="K105" s="428"/>
      <c r="L105" s="428"/>
      <c r="M105" s="428"/>
      <c r="N105" s="470">
        <f>-N88-SUM(N90:N104)</f>
        <v>-874</v>
      </c>
      <c r="O105" s="430"/>
      <c r="P105" s="418"/>
    </row>
    <row r="106" spans="1:17" x14ac:dyDescent="0.3">
      <c r="A106" s="442"/>
      <c r="B106" s="577" t="s">
        <v>35</v>
      </c>
      <c r="C106" s="443"/>
      <c r="D106" s="443"/>
      <c r="E106" s="443"/>
      <c r="F106" s="443"/>
      <c r="G106" s="443"/>
      <c r="H106" s="443"/>
      <c r="I106" s="443"/>
      <c r="J106" s="443"/>
      <c r="K106" s="443"/>
      <c r="L106" s="443"/>
      <c r="M106" s="443"/>
      <c r="N106" s="483"/>
      <c r="O106" s="445"/>
      <c r="P106" s="402"/>
    </row>
    <row r="107" spans="1:17" s="419" customFormat="1" x14ac:dyDescent="0.3">
      <c r="A107" s="427"/>
      <c r="B107" s="428" t="s">
        <v>160</v>
      </c>
      <c r="C107" s="428"/>
      <c r="D107" s="428"/>
      <c r="E107" s="428"/>
      <c r="F107" s="428"/>
      <c r="G107" s="428"/>
      <c r="H107" s="428"/>
      <c r="I107" s="428"/>
      <c r="J107" s="428"/>
      <c r="K107" s="428"/>
      <c r="L107" s="469">
        <v>0</v>
      </c>
      <c r="M107" s="469"/>
      <c r="N107" s="470"/>
      <c r="O107" s="430"/>
      <c r="P107" s="418"/>
    </row>
    <row r="108" spans="1:17" s="419" customFormat="1" x14ac:dyDescent="0.3">
      <c r="A108" s="427"/>
      <c r="B108" s="428" t="s">
        <v>161</v>
      </c>
      <c r="C108" s="428"/>
      <c r="D108" s="428"/>
      <c r="E108" s="428"/>
      <c r="F108" s="428"/>
      <c r="G108" s="428"/>
      <c r="H108" s="428"/>
      <c r="I108" s="428"/>
      <c r="J108" s="428"/>
      <c r="K108" s="428"/>
      <c r="L108" s="469">
        <v>0</v>
      </c>
      <c r="M108" s="469"/>
      <c r="N108" s="470"/>
      <c r="O108" s="430"/>
      <c r="P108" s="418"/>
    </row>
    <row r="109" spans="1:17" s="419" customFormat="1" x14ac:dyDescent="0.3">
      <c r="A109" s="427"/>
      <c r="B109" s="428" t="s">
        <v>200</v>
      </c>
      <c r="C109" s="428"/>
      <c r="D109" s="428"/>
      <c r="E109" s="428"/>
      <c r="F109" s="428"/>
      <c r="G109" s="428"/>
      <c r="H109" s="428"/>
      <c r="I109" s="428"/>
      <c r="J109" s="428"/>
      <c r="K109" s="428"/>
      <c r="L109" s="469">
        <v>-6856</v>
      </c>
      <c r="M109" s="469"/>
      <c r="N109" s="470"/>
      <c r="O109" s="430"/>
      <c r="P109" s="418"/>
    </row>
    <row r="110" spans="1:17" s="419" customFormat="1" x14ac:dyDescent="0.3">
      <c r="A110" s="427"/>
      <c r="B110" s="428" t="s">
        <v>201</v>
      </c>
      <c r="C110" s="428"/>
      <c r="D110" s="428"/>
      <c r="E110" s="428"/>
      <c r="F110" s="428"/>
      <c r="G110" s="428"/>
      <c r="H110" s="428"/>
      <c r="I110" s="428"/>
      <c r="J110" s="428"/>
      <c r="K110" s="428"/>
      <c r="L110" s="469">
        <v>-1598</v>
      </c>
      <c r="M110" s="469"/>
      <c r="N110" s="470"/>
      <c r="O110" s="430"/>
      <c r="P110" s="418"/>
    </row>
    <row r="111" spans="1:17" s="419" customFormat="1" x14ac:dyDescent="0.3">
      <c r="A111" s="427"/>
      <c r="B111" s="428" t="s">
        <v>202</v>
      </c>
      <c r="C111" s="428"/>
      <c r="D111" s="428"/>
      <c r="E111" s="428"/>
      <c r="F111" s="428"/>
      <c r="G111" s="428"/>
      <c r="H111" s="428"/>
      <c r="I111" s="428"/>
      <c r="J111" s="428"/>
      <c r="K111" s="428"/>
      <c r="L111" s="469">
        <v>-1598</v>
      </c>
      <c r="M111" s="469"/>
      <c r="N111" s="470"/>
      <c r="O111" s="430"/>
      <c r="P111" s="418"/>
    </row>
    <row r="112" spans="1:17" s="419" customFormat="1" x14ac:dyDescent="0.3">
      <c r="A112" s="427"/>
      <c r="B112" s="428" t="s">
        <v>36</v>
      </c>
      <c r="C112" s="428"/>
      <c r="D112" s="428"/>
      <c r="E112" s="428"/>
      <c r="F112" s="428"/>
      <c r="G112" s="428"/>
      <c r="H112" s="428"/>
      <c r="I112" s="428"/>
      <c r="J112" s="428"/>
      <c r="K112" s="428"/>
      <c r="L112" s="469">
        <f>SUM(L107:L111)</f>
        <v>-10052</v>
      </c>
      <c r="M112" s="469"/>
      <c r="N112" s="469">
        <f>SUM(N89:N110)</f>
        <v>-938</v>
      </c>
      <c r="O112" s="430"/>
      <c r="P112" s="418"/>
    </row>
    <row r="113" spans="1:16" s="419" customFormat="1" x14ac:dyDescent="0.3">
      <c r="A113" s="427"/>
      <c r="B113" s="428" t="s">
        <v>37</v>
      </c>
      <c r="C113" s="428"/>
      <c r="D113" s="428"/>
      <c r="E113" s="428"/>
      <c r="F113" s="428"/>
      <c r="G113" s="428"/>
      <c r="H113" s="428"/>
      <c r="I113" s="428"/>
      <c r="J113" s="428"/>
      <c r="K113" s="428"/>
      <c r="L113" s="469">
        <f>L88+L112+L99</f>
        <v>0</v>
      </c>
      <c r="M113" s="469"/>
      <c r="N113" s="469">
        <f>N88+N112</f>
        <v>0</v>
      </c>
      <c r="O113" s="430"/>
      <c r="P113" s="418"/>
    </row>
    <row r="114" spans="1:16" s="419" customFormat="1" x14ac:dyDescent="0.3">
      <c r="A114" s="415"/>
      <c r="B114" s="458"/>
      <c r="C114" s="458"/>
      <c r="D114" s="458"/>
      <c r="E114" s="458"/>
      <c r="F114" s="458"/>
      <c r="G114" s="458"/>
      <c r="H114" s="458"/>
      <c r="I114" s="458"/>
      <c r="J114" s="458"/>
      <c r="K114" s="458"/>
      <c r="L114" s="484"/>
      <c r="M114" s="484"/>
      <c r="N114" s="484"/>
      <c r="O114" s="458"/>
      <c r="P114" s="418"/>
    </row>
    <row r="115" spans="1:16" s="419" customFormat="1" x14ac:dyDescent="0.3">
      <c r="A115" s="415"/>
      <c r="B115" s="416"/>
      <c r="C115" s="416"/>
      <c r="D115" s="416"/>
      <c r="E115" s="416"/>
      <c r="F115" s="416"/>
      <c r="G115" s="416"/>
      <c r="H115" s="416"/>
      <c r="I115" s="416"/>
      <c r="J115" s="416"/>
      <c r="K115" s="416"/>
      <c r="L115" s="416"/>
      <c r="M115" s="416"/>
      <c r="N115" s="485"/>
      <c r="O115" s="416"/>
      <c r="P115" s="418"/>
    </row>
    <row r="116" spans="1:16" s="419" customFormat="1" ht="18.600000000000001" thickBot="1" x14ac:dyDescent="0.4">
      <c r="A116" s="463"/>
      <c r="B116" s="464" t="str">
        <f>B52</f>
        <v>FF7 INVESTOR REPORT QUARTER ENDING MAY 2019</v>
      </c>
      <c r="C116" s="465"/>
      <c r="D116" s="465"/>
      <c r="E116" s="465"/>
      <c r="F116" s="465"/>
      <c r="G116" s="465"/>
      <c r="H116" s="465"/>
      <c r="I116" s="465"/>
      <c r="J116" s="465"/>
      <c r="K116" s="465"/>
      <c r="L116" s="465"/>
      <c r="M116" s="465"/>
      <c r="N116" s="486"/>
      <c r="O116" s="467"/>
      <c r="P116" s="418"/>
    </row>
    <row r="117" spans="1:16" x14ac:dyDescent="0.3">
      <c r="A117" s="603"/>
      <c r="B117" s="604" t="s">
        <v>38</v>
      </c>
      <c r="C117" s="605"/>
      <c r="D117" s="605"/>
      <c r="E117" s="605"/>
      <c r="F117" s="605"/>
      <c r="G117" s="605"/>
      <c r="H117" s="605"/>
      <c r="I117" s="605"/>
      <c r="J117" s="605"/>
      <c r="K117" s="605"/>
      <c r="L117" s="605"/>
      <c r="M117" s="605"/>
      <c r="N117" s="606"/>
      <c r="O117" s="605"/>
      <c r="P117" s="402"/>
    </row>
    <row r="118" spans="1:16" x14ac:dyDescent="0.3">
      <c r="A118" s="404"/>
      <c r="B118" s="487"/>
      <c r="C118" s="406"/>
      <c r="D118" s="406"/>
      <c r="E118" s="406"/>
      <c r="F118" s="406"/>
      <c r="G118" s="406"/>
      <c r="H118" s="406"/>
      <c r="I118" s="406"/>
      <c r="J118" s="406"/>
      <c r="K118" s="406"/>
      <c r="L118" s="406"/>
      <c r="M118" s="406"/>
      <c r="N118" s="468"/>
      <c r="O118" s="406"/>
      <c r="P118" s="402"/>
    </row>
    <row r="119" spans="1:16" x14ac:dyDescent="0.3">
      <c r="A119" s="404"/>
      <c r="B119" s="578" t="s">
        <v>39</v>
      </c>
      <c r="C119" s="406"/>
      <c r="D119" s="406"/>
      <c r="E119" s="406"/>
      <c r="F119" s="406"/>
      <c r="G119" s="406"/>
      <c r="H119" s="406"/>
      <c r="I119" s="406"/>
      <c r="J119" s="406"/>
      <c r="K119" s="406"/>
      <c r="L119" s="406"/>
      <c r="M119" s="406"/>
      <c r="N119" s="468"/>
      <c r="O119" s="406"/>
      <c r="P119" s="402"/>
    </row>
    <row r="120" spans="1:16" s="419" customFormat="1" x14ac:dyDescent="0.3">
      <c r="A120" s="427"/>
      <c r="B120" s="428" t="s">
        <v>40</v>
      </c>
      <c r="C120" s="428"/>
      <c r="D120" s="428"/>
      <c r="E120" s="428"/>
      <c r="F120" s="428"/>
      <c r="G120" s="428"/>
      <c r="H120" s="428"/>
      <c r="I120" s="428"/>
      <c r="J120" s="428"/>
      <c r="K120" s="428"/>
      <c r="L120" s="428"/>
      <c r="M120" s="428"/>
      <c r="N120" s="470">
        <f>N28*0.003</f>
        <v>805.80000000000007</v>
      </c>
      <c r="O120" s="430"/>
      <c r="P120" s="418"/>
    </row>
    <row r="121" spans="1:16" s="419" customFormat="1" x14ac:dyDescent="0.3">
      <c r="A121" s="427"/>
      <c r="B121" s="428" t="s">
        <v>41</v>
      </c>
      <c r="C121" s="428"/>
      <c r="D121" s="428"/>
      <c r="E121" s="428"/>
      <c r="F121" s="428"/>
      <c r="G121" s="428"/>
      <c r="H121" s="428"/>
      <c r="I121" s="428"/>
      <c r="J121" s="428"/>
      <c r="K121" s="428"/>
      <c r="L121" s="428"/>
      <c r="M121" s="428"/>
      <c r="N121" s="470">
        <v>806</v>
      </c>
      <c r="O121" s="430"/>
      <c r="P121" s="418"/>
    </row>
    <row r="122" spans="1:16" s="419" customFormat="1" x14ac:dyDescent="0.3">
      <c r="A122" s="427"/>
      <c r="B122" s="428" t="s">
        <v>305</v>
      </c>
      <c r="C122" s="428"/>
      <c r="D122" s="428"/>
      <c r="E122" s="428"/>
      <c r="F122" s="428"/>
      <c r="G122" s="428"/>
      <c r="H122" s="428"/>
      <c r="I122" s="428"/>
      <c r="J122" s="428"/>
      <c r="K122" s="428"/>
      <c r="L122" s="428"/>
      <c r="M122" s="428"/>
      <c r="N122" s="470">
        <v>-806</v>
      </c>
      <c r="O122" s="430"/>
      <c r="P122" s="418"/>
    </row>
    <row r="123" spans="1:16" s="419" customFormat="1" x14ac:dyDescent="0.3">
      <c r="A123" s="427"/>
      <c r="B123" s="428" t="s">
        <v>132</v>
      </c>
      <c r="C123" s="428"/>
      <c r="D123" s="428"/>
      <c r="E123" s="428"/>
      <c r="F123" s="428"/>
      <c r="G123" s="428"/>
      <c r="H123" s="428"/>
      <c r="I123" s="428"/>
      <c r="J123" s="428"/>
      <c r="K123" s="428"/>
      <c r="L123" s="428"/>
      <c r="M123" s="428"/>
      <c r="N123" s="470">
        <v>0</v>
      </c>
      <c r="O123" s="430"/>
      <c r="P123" s="418"/>
    </row>
    <row r="124" spans="1:16" s="419" customFormat="1" x14ac:dyDescent="0.3">
      <c r="A124" s="427"/>
      <c r="B124" s="428" t="s">
        <v>221</v>
      </c>
      <c r="C124" s="428"/>
      <c r="D124" s="428"/>
      <c r="E124" s="428"/>
      <c r="F124" s="428"/>
      <c r="G124" s="428"/>
      <c r="H124" s="428"/>
      <c r="I124" s="428"/>
      <c r="J124" s="428"/>
      <c r="K124" s="428"/>
      <c r="L124" s="428"/>
      <c r="M124" s="428"/>
      <c r="N124" s="470">
        <v>0</v>
      </c>
      <c r="O124" s="430"/>
      <c r="P124" s="418"/>
    </row>
    <row r="125" spans="1:16" s="419" customFormat="1" x14ac:dyDescent="0.3">
      <c r="A125" s="427"/>
      <c r="B125" s="428" t="s">
        <v>222</v>
      </c>
      <c r="C125" s="428"/>
      <c r="D125" s="428"/>
      <c r="E125" s="428"/>
      <c r="F125" s="428"/>
      <c r="G125" s="428"/>
      <c r="H125" s="428"/>
      <c r="I125" s="428"/>
      <c r="J125" s="428"/>
      <c r="K125" s="428"/>
      <c r="L125" s="428"/>
      <c r="M125" s="428"/>
      <c r="N125" s="470">
        <v>0</v>
      </c>
      <c r="O125" s="430"/>
      <c r="P125" s="418"/>
    </row>
    <row r="126" spans="1:16" s="419" customFormat="1" x14ac:dyDescent="0.3">
      <c r="A126" s="427"/>
      <c r="B126" s="428" t="s">
        <v>223</v>
      </c>
      <c r="C126" s="428"/>
      <c r="D126" s="428"/>
      <c r="E126" s="428"/>
      <c r="F126" s="428"/>
      <c r="G126" s="428"/>
      <c r="H126" s="428"/>
      <c r="I126" s="428"/>
      <c r="J126" s="428"/>
      <c r="K126" s="428"/>
      <c r="L126" s="428"/>
      <c r="M126" s="428"/>
      <c r="N126" s="470">
        <v>0</v>
      </c>
      <c r="O126" s="430"/>
      <c r="P126" s="418"/>
    </row>
    <row r="127" spans="1:16" s="419" customFormat="1" x14ac:dyDescent="0.3">
      <c r="A127" s="427"/>
      <c r="B127" s="428" t="s">
        <v>42</v>
      </c>
      <c r="C127" s="428"/>
      <c r="D127" s="428"/>
      <c r="E127" s="428"/>
      <c r="F127" s="428"/>
      <c r="G127" s="428"/>
      <c r="H127" s="428"/>
      <c r="I127" s="428"/>
      <c r="J127" s="428"/>
      <c r="K127" s="428"/>
      <c r="L127" s="428"/>
      <c r="M127" s="428"/>
      <c r="N127" s="470">
        <v>0</v>
      </c>
      <c r="O127" s="430"/>
      <c r="P127" s="418"/>
    </row>
    <row r="128" spans="1:16" s="419" customFormat="1" x14ac:dyDescent="0.3">
      <c r="A128" s="427"/>
      <c r="B128" s="428" t="s">
        <v>125</v>
      </c>
      <c r="C128" s="428"/>
      <c r="D128" s="428"/>
      <c r="E128" s="428"/>
      <c r="F128" s="428"/>
      <c r="G128" s="428"/>
      <c r="H128" s="428"/>
      <c r="I128" s="428"/>
      <c r="J128" s="428"/>
      <c r="K128" s="428"/>
      <c r="L128" s="428"/>
      <c r="M128" s="428"/>
      <c r="N128" s="470">
        <v>0</v>
      </c>
      <c r="O128" s="430"/>
      <c r="P128" s="418"/>
    </row>
    <row r="129" spans="1:17" s="419" customFormat="1" x14ac:dyDescent="0.3">
      <c r="A129" s="427"/>
      <c r="B129" s="428" t="s">
        <v>225</v>
      </c>
      <c r="C129" s="428"/>
      <c r="D129" s="428"/>
      <c r="E129" s="428"/>
      <c r="F129" s="428"/>
      <c r="G129" s="428"/>
      <c r="H129" s="428"/>
      <c r="I129" s="428"/>
      <c r="J129" s="428"/>
      <c r="K129" s="428"/>
      <c r="L129" s="428"/>
      <c r="M129" s="428"/>
      <c r="N129" s="470">
        <v>0</v>
      </c>
      <c r="O129" s="430"/>
      <c r="P129" s="418"/>
      <c r="Q129" s="482"/>
    </row>
    <row r="130" spans="1:17" s="419" customFormat="1" x14ac:dyDescent="0.3">
      <c r="A130" s="427"/>
      <c r="B130" s="428" t="s">
        <v>43</v>
      </c>
      <c r="C130" s="428"/>
      <c r="D130" s="428"/>
      <c r="E130" s="428"/>
      <c r="F130" s="428"/>
      <c r="G130" s="428"/>
      <c r="H130" s="428"/>
      <c r="I130" s="428"/>
      <c r="J130" s="428"/>
      <c r="K130" s="428"/>
      <c r="L130" s="428"/>
      <c r="M130" s="428"/>
      <c r="N130" s="470">
        <f>SUM(N121:N129)</f>
        <v>0</v>
      </c>
      <c r="O130" s="430"/>
      <c r="P130" s="418"/>
    </row>
    <row r="131" spans="1:17" x14ac:dyDescent="0.3">
      <c r="A131" s="442"/>
      <c r="B131" s="443"/>
      <c r="C131" s="443"/>
      <c r="D131" s="443"/>
      <c r="E131" s="443"/>
      <c r="F131" s="443"/>
      <c r="G131" s="443"/>
      <c r="H131" s="443"/>
      <c r="I131" s="443"/>
      <c r="J131" s="443"/>
      <c r="K131" s="443"/>
      <c r="L131" s="443"/>
      <c r="M131" s="443"/>
      <c r="N131" s="481"/>
      <c r="O131" s="445"/>
      <c r="P131" s="402"/>
    </row>
    <row r="132" spans="1:17" x14ac:dyDescent="0.3">
      <c r="A132" s="442"/>
      <c r="B132" s="577" t="s">
        <v>179</v>
      </c>
      <c r="C132" s="443"/>
      <c r="D132" s="443"/>
      <c r="E132" s="443"/>
      <c r="F132" s="443"/>
      <c r="G132" s="443"/>
      <c r="H132" s="443"/>
      <c r="I132" s="443"/>
      <c r="J132" s="443"/>
      <c r="K132" s="443"/>
      <c r="L132" s="443"/>
      <c r="M132" s="443"/>
      <c r="N132" s="481"/>
      <c r="O132" s="445"/>
      <c r="P132" s="402"/>
    </row>
    <row r="133" spans="1:17" s="419" customFormat="1" x14ac:dyDescent="0.3">
      <c r="A133" s="427"/>
      <c r="B133" s="428" t="s">
        <v>144</v>
      </c>
      <c r="C133" s="428"/>
      <c r="D133" s="428"/>
      <c r="E133" s="428"/>
      <c r="F133" s="428"/>
      <c r="G133" s="428"/>
      <c r="H133" s="428"/>
      <c r="I133" s="428"/>
      <c r="J133" s="428"/>
      <c r="K133" s="428"/>
      <c r="L133" s="428"/>
      <c r="M133" s="428"/>
      <c r="N133" s="470">
        <v>7098</v>
      </c>
      <c r="O133" s="430"/>
      <c r="P133" s="418"/>
    </row>
    <row r="134" spans="1:17" s="419" customFormat="1" x14ac:dyDescent="0.3">
      <c r="A134" s="427"/>
      <c r="B134" s="428" t="s">
        <v>159</v>
      </c>
      <c r="C134" s="428"/>
      <c r="D134" s="428"/>
      <c r="E134" s="428"/>
      <c r="F134" s="428"/>
      <c r="G134" s="428"/>
      <c r="H134" s="428"/>
      <c r="I134" s="428"/>
      <c r="J134" s="428"/>
      <c r="K134" s="428"/>
      <c r="L134" s="428"/>
      <c r="M134" s="428"/>
      <c r="N134" s="470">
        <v>0</v>
      </c>
      <c r="O134" s="430"/>
      <c r="P134" s="418"/>
    </row>
    <row r="135" spans="1:17" s="419" customFormat="1" x14ac:dyDescent="0.3">
      <c r="A135" s="427"/>
      <c r="B135" s="428" t="s">
        <v>278</v>
      </c>
      <c r="C135" s="428"/>
      <c r="D135" s="428"/>
      <c r="E135" s="428"/>
      <c r="F135" s="428"/>
      <c r="G135" s="428"/>
      <c r="H135" s="428"/>
      <c r="I135" s="428"/>
      <c r="J135" s="428"/>
      <c r="K135" s="428"/>
      <c r="L135" s="428"/>
      <c r="M135" s="428"/>
      <c r="N135" s="470">
        <v>0</v>
      </c>
      <c r="O135" s="430"/>
      <c r="P135" s="418"/>
    </row>
    <row r="136" spans="1:17" x14ac:dyDescent="0.3">
      <c r="A136" s="442"/>
      <c r="B136" s="443"/>
      <c r="C136" s="443"/>
      <c r="D136" s="443"/>
      <c r="E136" s="443"/>
      <c r="F136" s="443"/>
      <c r="G136" s="443"/>
      <c r="H136" s="443"/>
      <c r="I136" s="443"/>
      <c r="J136" s="443"/>
      <c r="K136" s="443"/>
      <c r="L136" s="443"/>
      <c r="M136" s="443"/>
      <c r="N136" s="481"/>
      <c r="O136" s="445"/>
      <c r="P136" s="402"/>
    </row>
    <row r="137" spans="1:17" x14ac:dyDescent="0.3">
      <c r="A137" s="404"/>
      <c r="B137" s="471"/>
      <c r="C137" s="471"/>
      <c r="D137" s="471"/>
      <c r="E137" s="471"/>
      <c r="F137" s="471"/>
      <c r="G137" s="471"/>
      <c r="H137" s="471"/>
      <c r="I137" s="471"/>
      <c r="J137" s="471"/>
      <c r="K137" s="471"/>
      <c r="L137" s="471"/>
      <c r="M137" s="471"/>
      <c r="N137" s="488"/>
      <c r="O137" s="471"/>
      <c r="P137" s="402"/>
    </row>
    <row r="138" spans="1:17" x14ac:dyDescent="0.3">
      <c r="A138" s="404"/>
      <c r="B138" s="578" t="s">
        <v>22</v>
      </c>
      <c r="C138" s="406"/>
      <c r="D138" s="406"/>
      <c r="E138" s="406"/>
      <c r="F138" s="406"/>
      <c r="G138" s="406"/>
      <c r="H138" s="406"/>
      <c r="I138" s="406"/>
      <c r="J138" s="406"/>
      <c r="K138" s="406"/>
      <c r="L138" s="406"/>
      <c r="M138" s="406"/>
      <c r="N138" s="468"/>
      <c r="O138" s="406"/>
      <c r="P138" s="402"/>
    </row>
    <row r="139" spans="1:17" s="419" customFormat="1" x14ac:dyDescent="0.3">
      <c r="A139" s="427"/>
      <c r="B139" s="428" t="s">
        <v>44</v>
      </c>
      <c r="C139" s="428"/>
      <c r="D139" s="428"/>
      <c r="E139" s="428"/>
      <c r="F139" s="428"/>
      <c r="G139" s="428"/>
      <c r="H139" s="428"/>
      <c r="I139" s="428"/>
      <c r="J139" s="428"/>
      <c r="K139" s="428"/>
      <c r="L139" s="428"/>
      <c r="M139" s="428"/>
      <c r="N139" s="489" t="s">
        <v>117</v>
      </c>
      <c r="O139" s="430"/>
      <c r="P139" s="418"/>
    </row>
    <row r="140" spans="1:17" s="419" customFormat="1" x14ac:dyDescent="0.3">
      <c r="A140" s="427"/>
      <c r="B140" s="428" t="s">
        <v>45</v>
      </c>
      <c r="C140" s="428"/>
      <c r="D140" s="428"/>
      <c r="E140" s="428"/>
      <c r="F140" s="428"/>
      <c r="G140" s="428"/>
      <c r="H140" s="428"/>
      <c r="I140" s="428"/>
      <c r="J140" s="428"/>
      <c r="K140" s="428"/>
      <c r="L140" s="428"/>
      <c r="M140" s="428"/>
      <c r="N140" s="489" t="s">
        <v>117</v>
      </c>
      <c r="O140" s="430"/>
      <c r="P140" s="418"/>
    </row>
    <row r="141" spans="1:17" s="419" customFormat="1" x14ac:dyDescent="0.3">
      <c r="A141" s="427"/>
      <c r="B141" s="428" t="s">
        <v>46</v>
      </c>
      <c r="C141" s="428"/>
      <c r="D141" s="428"/>
      <c r="E141" s="428"/>
      <c r="F141" s="428"/>
      <c r="G141" s="428"/>
      <c r="H141" s="428"/>
      <c r="I141" s="428"/>
      <c r="J141" s="428"/>
      <c r="K141" s="428"/>
      <c r="L141" s="428"/>
      <c r="M141" s="428"/>
      <c r="N141" s="489" t="s">
        <v>117</v>
      </c>
      <c r="O141" s="430"/>
      <c r="P141" s="418"/>
    </row>
    <row r="142" spans="1:17" s="419" customFormat="1" x14ac:dyDescent="0.3">
      <c r="A142" s="427"/>
      <c r="B142" s="428" t="s">
        <v>47</v>
      </c>
      <c r="C142" s="428"/>
      <c r="D142" s="428"/>
      <c r="E142" s="428"/>
      <c r="F142" s="428"/>
      <c r="G142" s="428"/>
      <c r="H142" s="428"/>
      <c r="I142" s="428"/>
      <c r="J142" s="428"/>
      <c r="K142" s="428"/>
      <c r="L142" s="428"/>
      <c r="M142" s="428"/>
      <c r="N142" s="489" t="s">
        <v>117</v>
      </c>
      <c r="O142" s="430"/>
      <c r="P142" s="418"/>
    </row>
    <row r="143" spans="1:17" x14ac:dyDescent="0.3">
      <c r="A143" s="404"/>
      <c r="B143" s="471"/>
      <c r="C143" s="471"/>
      <c r="D143" s="471"/>
      <c r="E143" s="471"/>
      <c r="F143" s="471"/>
      <c r="G143" s="471"/>
      <c r="H143" s="471"/>
      <c r="I143" s="471"/>
      <c r="J143" s="471"/>
      <c r="K143" s="471"/>
      <c r="L143" s="471"/>
      <c r="M143" s="471"/>
      <c r="N143" s="488"/>
      <c r="O143" s="471"/>
      <c r="P143" s="402"/>
    </row>
    <row r="144" spans="1:17" x14ac:dyDescent="0.3">
      <c r="A144" s="404"/>
      <c r="B144" s="578" t="s">
        <v>48</v>
      </c>
      <c r="C144" s="406"/>
      <c r="D144" s="406"/>
      <c r="E144" s="406"/>
      <c r="F144" s="406"/>
      <c r="G144" s="406"/>
      <c r="H144" s="406"/>
      <c r="I144" s="406"/>
      <c r="J144" s="406"/>
      <c r="K144" s="406"/>
      <c r="L144" s="406"/>
      <c r="M144" s="406"/>
      <c r="N144" s="490"/>
      <c r="O144" s="406"/>
      <c r="P144" s="402"/>
    </row>
    <row r="145" spans="1:256" s="419" customFormat="1" x14ac:dyDescent="0.3">
      <c r="A145" s="427"/>
      <c r="B145" s="428" t="s">
        <v>49</v>
      </c>
      <c r="C145" s="428"/>
      <c r="D145" s="428"/>
      <c r="E145" s="428"/>
      <c r="F145" s="428"/>
      <c r="G145" s="428"/>
      <c r="H145" s="428"/>
      <c r="I145" s="428"/>
      <c r="J145" s="428"/>
      <c r="K145" s="428"/>
      <c r="L145" s="428"/>
      <c r="M145" s="428"/>
      <c r="N145" s="470">
        <v>0</v>
      </c>
      <c r="O145" s="430"/>
      <c r="P145" s="418"/>
    </row>
    <row r="146" spans="1:256" s="419" customFormat="1" x14ac:dyDescent="0.3">
      <c r="A146" s="427"/>
      <c r="B146" s="428" t="s">
        <v>50</v>
      </c>
      <c r="C146" s="428"/>
      <c r="D146" s="428"/>
      <c r="E146" s="428"/>
      <c r="F146" s="428"/>
      <c r="G146" s="428"/>
      <c r="H146" s="428"/>
      <c r="I146" s="428"/>
      <c r="J146" s="428"/>
      <c r="K146" s="428"/>
      <c r="L146" s="428"/>
      <c r="M146" s="428"/>
      <c r="N146" s="470">
        <v>0</v>
      </c>
      <c r="O146" s="430"/>
      <c r="P146" s="418"/>
    </row>
    <row r="147" spans="1:256" s="419" customFormat="1" x14ac:dyDescent="0.3">
      <c r="A147" s="427"/>
      <c r="B147" s="428" t="s">
        <v>51</v>
      </c>
      <c r="C147" s="428"/>
      <c r="D147" s="428"/>
      <c r="E147" s="428"/>
      <c r="F147" s="428"/>
      <c r="G147" s="428"/>
      <c r="H147" s="428"/>
      <c r="I147" s="428"/>
      <c r="J147" s="428"/>
      <c r="K147" s="428"/>
      <c r="L147" s="428"/>
      <c r="M147" s="428"/>
      <c r="N147" s="470">
        <f>+N145+N146</f>
        <v>0</v>
      </c>
      <c r="O147" s="430"/>
      <c r="P147" s="418"/>
    </row>
    <row r="148" spans="1:256" s="419" customFormat="1" x14ac:dyDescent="0.3">
      <c r="A148" s="427"/>
      <c r="B148" s="428" t="s">
        <v>264</v>
      </c>
      <c r="C148" s="428"/>
      <c r="D148" s="428"/>
      <c r="E148" s="428"/>
      <c r="F148" s="428"/>
      <c r="G148" s="428"/>
      <c r="H148" s="428"/>
      <c r="I148" s="428"/>
      <c r="J148" s="428"/>
      <c r="K148" s="428"/>
      <c r="L148" s="428"/>
      <c r="M148" s="428"/>
      <c r="N148" s="470">
        <f>N99</f>
        <v>0</v>
      </c>
      <c r="O148" s="430"/>
      <c r="P148" s="418"/>
    </row>
    <row r="149" spans="1:256" s="419" customFormat="1" x14ac:dyDescent="0.3">
      <c r="A149" s="427"/>
      <c r="B149" s="428" t="s">
        <v>52</v>
      </c>
      <c r="C149" s="428"/>
      <c r="D149" s="428"/>
      <c r="E149" s="428"/>
      <c r="F149" s="428"/>
      <c r="G149" s="428"/>
      <c r="H149" s="428"/>
      <c r="I149" s="428"/>
      <c r="J149" s="428"/>
      <c r="K149" s="428"/>
      <c r="L149" s="428"/>
      <c r="M149" s="428"/>
      <c r="N149" s="470">
        <f>N147+N148</f>
        <v>0</v>
      </c>
      <c r="O149" s="430"/>
      <c r="P149" s="418"/>
    </row>
    <row r="150" spans="1:256" ht="16.2" thickBot="1" x14ac:dyDescent="0.35">
      <c r="A150" s="404"/>
      <c r="B150" s="471"/>
      <c r="C150" s="471"/>
      <c r="D150" s="471"/>
      <c r="E150" s="471"/>
      <c r="F150" s="471"/>
      <c r="G150" s="471"/>
      <c r="H150" s="471"/>
      <c r="I150" s="471"/>
      <c r="J150" s="471"/>
      <c r="K150" s="471"/>
      <c r="L150" s="471"/>
      <c r="M150" s="471"/>
      <c r="N150" s="488"/>
      <c r="O150" s="471"/>
      <c r="P150" s="402"/>
    </row>
    <row r="151" spans="1:256" x14ac:dyDescent="0.3">
      <c r="A151" s="399"/>
      <c r="B151" s="401"/>
      <c r="C151" s="401"/>
      <c r="D151" s="401"/>
      <c r="E151" s="401"/>
      <c r="F151" s="401"/>
      <c r="G151" s="401"/>
      <c r="H151" s="401"/>
      <c r="I151" s="401"/>
      <c r="J151" s="401"/>
      <c r="K151" s="401"/>
      <c r="L151" s="401"/>
      <c r="M151" s="401"/>
      <c r="N151" s="491"/>
      <c r="O151" s="401"/>
      <c r="P151" s="402"/>
    </row>
    <row r="152" spans="1:256" x14ac:dyDescent="0.3">
      <c r="A152" s="404"/>
      <c r="B152" s="578" t="s">
        <v>53</v>
      </c>
      <c r="C152" s="406"/>
      <c r="D152" s="406"/>
      <c r="E152" s="406"/>
      <c r="F152" s="406"/>
      <c r="G152" s="406"/>
      <c r="H152" s="406"/>
      <c r="I152" s="406"/>
      <c r="J152" s="406"/>
      <c r="K152" s="406"/>
      <c r="L152" s="406"/>
      <c r="M152" s="406"/>
      <c r="N152" s="468"/>
      <c r="O152" s="406"/>
      <c r="P152" s="402"/>
    </row>
    <row r="153" spans="1:256" x14ac:dyDescent="0.3">
      <c r="A153" s="404"/>
      <c r="B153" s="487"/>
      <c r="C153" s="406"/>
      <c r="D153" s="406"/>
      <c r="E153" s="406"/>
      <c r="F153" s="406"/>
      <c r="G153" s="406"/>
      <c r="H153" s="406"/>
      <c r="I153" s="406"/>
      <c r="J153" s="406"/>
      <c r="K153" s="406"/>
      <c r="L153" s="406"/>
      <c r="M153" s="406"/>
      <c r="N153" s="468"/>
      <c r="O153" s="406"/>
      <c r="P153" s="402"/>
    </row>
    <row r="154" spans="1:256" s="419" customFormat="1" x14ac:dyDescent="0.3">
      <c r="A154" s="427"/>
      <c r="B154" s="428" t="s">
        <v>234</v>
      </c>
      <c r="C154" s="428"/>
      <c r="D154" s="428"/>
      <c r="E154" s="428"/>
      <c r="F154" s="428"/>
      <c r="G154" s="428"/>
      <c r="H154" s="428"/>
      <c r="I154" s="428"/>
      <c r="J154" s="428"/>
      <c r="K154" s="428"/>
      <c r="L154" s="428"/>
      <c r="M154" s="428"/>
      <c r="N154" s="470">
        <f>N56</f>
        <v>0</v>
      </c>
      <c r="O154" s="430"/>
      <c r="P154" s="418"/>
      <c r="Q154" s="482"/>
    </row>
    <row r="155" spans="1:256" s="419" customFormat="1" x14ac:dyDescent="0.3">
      <c r="A155" s="427"/>
      <c r="B155" s="428" t="s">
        <v>54</v>
      </c>
      <c r="C155" s="428"/>
      <c r="D155" s="428"/>
      <c r="E155" s="428"/>
      <c r="F155" s="428"/>
      <c r="G155" s="428"/>
      <c r="H155" s="428"/>
      <c r="I155" s="428"/>
      <c r="J155" s="428"/>
      <c r="K155" s="428"/>
      <c r="L155" s="428"/>
      <c r="M155" s="428"/>
      <c r="N155" s="470">
        <f>N72</f>
        <v>0</v>
      </c>
      <c r="O155" s="430"/>
      <c r="P155" s="418"/>
    </row>
    <row r="156" spans="1:256" ht="16.2" thickBot="1" x14ac:dyDescent="0.35">
      <c r="A156" s="404"/>
      <c r="B156" s="471"/>
      <c r="C156" s="471"/>
      <c r="D156" s="471"/>
      <c r="E156" s="471"/>
      <c r="F156" s="471"/>
      <c r="G156" s="471"/>
      <c r="H156" s="471"/>
      <c r="I156" s="471"/>
      <c r="J156" s="471"/>
      <c r="K156" s="471"/>
      <c r="L156" s="471"/>
      <c r="M156" s="471"/>
      <c r="N156" s="488"/>
      <c r="O156" s="471"/>
      <c r="P156" s="402"/>
    </row>
    <row r="157" spans="1:256" s="492" customFormat="1" x14ac:dyDescent="0.3">
      <c r="A157" s="399"/>
      <c r="B157" s="401"/>
      <c r="C157" s="401"/>
      <c r="D157" s="401"/>
      <c r="E157" s="401"/>
      <c r="F157" s="401"/>
      <c r="G157" s="401"/>
      <c r="H157" s="401"/>
      <c r="I157" s="401"/>
      <c r="J157" s="401"/>
      <c r="K157" s="401"/>
      <c r="L157" s="401"/>
      <c r="M157" s="401"/>
      <c r="N157" s="491"/>
      <c r="O157" s="401"/>
      <c r="P157" s="402"/>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c r="AN157" s="403"/>
      <c r="AO157" s="403"/>
      <c r="AP157" s="403"/>
      <c r="AQ157" s="403"/>
      <c r="AR157" s="403"/>
      <c r="AS157" s="403"/>
      <c r="AT157" s="403"/>
      <c r="AU157" s="403"/>
      <c r="AV157" s="403"/>
      <c r="AW157" s="403"/>
      <c r="AX157" s="403"/>
      <c r="AY157" s="403"/>
      <c r="AZ157" s="403"/>
      <c r="BA157" s="403"/>
      <c r="BB157" s="403"/>
      <c r="BC157" s="403"/>
      <c r="BD157" s="403"/>
      <c r="BE157" s="403"/>
      <c r="BF157" s="403"/>
      <c r="BG157" s="403"/>
      <c r="BH157" s="403"/>
      <c r="BI157" s="403"/>
      <c r="BJ157" s="403"/>
      <c r="BK157" s="403"/>
      <c r="BL157" s="403"/>
      <c r="BM157" s="403"/>
      <c r="BN157" s="403"/>
      <c r="BO157" s="403"/>
      <c r="BP157" s="403"/>
      <c r="BQ157" s="403"/>
      <c r="BR157" s="403"/>
      <c r="BS157" s="403"/>
      <c r="BT157" s="403"/>
      <c r="BU157" s="403"/>
      <c r="BV157" s="403"/>
      <c r="BW157" s="403"/>
      <c r="BX157" s="403"/>
      <c r="BY157" s="403"/>
      <c r="BZ157" s="403"/>
      <c r="CA157" s="403"/>
      <c r="CB157" s="403"/>
      <c r="CC157" s="403"/>
      <c r="CD157" s="403"/>
      <c r="CE157" s="403"/>
      <c r="CF157" s="403"/>
      <c r="CG157" s="403"/>
      <c r="CH157" s="403"/>
      <c r="CI157" s="403"/>
      <c r="CJ157" s="403"/>
      <c r="CK157" s="403"/>
      <c r="CL157" s="403"/>
      <c r="CM157" s="403"/>
      <c r="CN157" s="403"/>
      <c r="CO157" s="403"/>
      <c r="CP157" s="403"/>
      <c r="CQ157" s="403"/>
      <c r="CR157" s="403"/>
      <c r="CS157" s="403"/>
      <c r="CT157" s="403"/>
      <c r="CU157" s="403"/>
      <c r="CV157" s="403"/>
      <c r="CW157" s="403"/>
      <c r="CX157" s="403"/>
      <c r="CY157" s="403"/>
      <c r="CZ157" s="403"/>
      <c r="DA157" s="403"/>
      <c r="DB157" s="403"/>
      <c r="DC157" s="403"/>
      <c r="DD157" s="403"/>
      <c r="DE157" s="403"/>
      <c r="DF157" s="403"/>
      <c r="DG157" s="403"/>
      <c r="DH157" s="403"/>
      <c r="DI157" s="403"/>
      <c r="DJ157" s="403"/>
      <c r="DK157" s="403"/>
      <c r="DL157" s="403"/>
      <c r="DM157" s="403"/>
      <c r="DN157" s="403"/>
      <c r="DO157" s="403"/>
      <c r="DP157" s="403"/>
      <c r="DQ157" s="403"/>
      <c r="DR157" s="403"/>
      <c r="DS157" s="403"/>
      <c r="DT157" s="403"/>
      <c r="DU157" s="403"/>
      <c r="DV157" s="403"/>
      <c r="DW157" s="403"/>
      <c r="DX157" s="403"/>
      <c r="DY157" s="403"/>
      <c r="DZ157" s="403"/>
      <c r="EA157" s="403"/>
      <c r="EB157" s="403"/>
      <c r="EC157" s="403"/>
      <c r="ED157" s="403"/>
      <c r="EE157" s="403"/>
      <c r="EF157" s="403"/>
      <c r="EG157" s="403"/>
      <c r="EH157" s="403"/>
      <c r="EI157" s="403"/>
      <c r="EJ157" s="403"/>
      <c r="EK157" s="403"/>
      <c r="EL157" s="403"/>
      <c r="EM157" s="403"/>
      <c r="EN157" s="403"/>
      <c r="EO157" s="403"/>
      <c r="EP157" s="403"/>
      <c r="EQ157" s="403"/>
      <c r="ER157" s="403"/>
      <c r="ES157" s="403"/>
      <c r="ET157" s="403"/>
      <c r="EU157" s="403"/>
      <c r="EV157" s="403"/>
      <c r="EW157" s="403"/>
      <c r="EX157" s="403"/>
      <c r="EY157" s="403"/>
      <c r="EZ157" s="403"/>
      <c r="FA157" s="403"/>
      <c r="FB157" s="403"/>
      <c r="FC157" s="403"/>
      <c r="FD157" s="403"/>
      <c r="FE157" s="403"/>
      <c r="FF157" s="403"/>
      <c r="FG157" s="403"/>
      <c r="FH157" s="403"/>
      <c r="FI157" s="403"/>
      <c r="FJ157" s="403"/>
      <c r="FK157" s="403"/>
      <c r="FL157" s="403"/>
      <c r="FM157" s="403"/>
      <c r="FN157" s="403"/>
      <c r="FO157" s="403"/>
      <c r="FP157" s="403"/>
      <c r="FQ157" s="403"/>
      <c r="FR157" s="403"/>
      <c r="FS157" s="403"/>
      <c r="FT157" s="403"/>
      <c r="FU157" s="403"/>
      <c r="FV157" s="403"/>
      <c r="FW157" s="403"/>
      <c r="FX157" s="403"/>
      <c r="FY157" s="403"/>
      <c r="FZ157" s="403"/>
      <c r="GA157" s="403"/>
      <c r="GB157" s="403"/>
      <c r="GC157" s="403"/>
      <c r="GD157" s="403"/>
      <c r="GE157" s="403"/>
      <c r="GF157" s="403"/>
      <c r="GG157" s="403"/>
      <c r="GH157" s="403"/>
      <c r="GI157" s="403"/>
      <c r="GJ157" s="403"/>
      <c r="GK157" s="403"/>
      <c r="GL157" s="403"/>
      <c r="GM157" s="403"/>
      <c r="GN157" s="403"/>
      <c r="GO157" s="403"/>
      <c r="GP157" s="403"/>
      <c r="GQ157" s="403"/>
      <c r="GR157" s="403"/>
      <c r="GS157" s="403"/>
      <c r="GT157" s="403"/>
      <c r="GU157" s="403"/>
      <c r="GV157" s="403"/>
      <c r="GW157" s="403"/>
      <c r="GX157" s="403"/>
      <c r="GY157" s="403"/>
      <c r="GZ157" s="403"/>
      <c r="HA157" s="403"/>
      <c r="HB157" s="403"/>
      <c r="HC157" s="403"/>
      <c r="HD157" s="403"/>
      <c r="HE157" s="403"/>
      <c r="HF157" s="403"/>
      <c r="HG157" s="403"/>
      <c r="HH157" s="403"/>
      <c r="HI157" s="403"/>
      <c r="HJ157" s="403"/>
      <c r="HK157" s="403"/>
      <c r="HL157" s="403"/>
      <c r="HM157" s="403"/>
      <c r="HN157" s="403"/>
      <c r="HO157" s="403"/>
      <c r="HP157" s="403"/>
      <c r="HQ157" s="403"/>
      <c r="HR157" s="403"/>
      <c r="HS157" s="403"/>
      <c r="HT157" s="403"/>
      <c r="HU157" s="403"/>
      <c r="HV157" s="403"/>
      <c r="HW157" s="403"/>
      <c r="HX157" s="403"/>
      <c r="HY157" s="403"/>
      <c r="HZ157" s="403"/>
      <c r="IA157" s="403"/>
      <c r="IB157" s="403"/>
      <c r="IC157" s="403"/>
      <c r="ID157" s="403"/>
      <c r="IE157" s="403"/>
      <c r="IF157" s="403"/>
      <c r="IG157" s="403"/>
      <c r="IH157" s="403"/>
      <c r="II157" s="403"/>
      <c r="IJ157" s="403"/>
      <c r="IK157" s="403"/>
      <c r="IL157" s="403"/>
      <c r="IM157" s="403"/>
      <c r="IN157" s="403"/>
      <c r="IO157" s="403"/>
      <c r="IP157" s="403"/>
      <c r="IQ157" s="403"/>
      <c r="IR157" s="403"/>
      <c r="IS157" s="403"/>
      <c r="IT157" s="403"/>
      <c r="IU157" s="403"/>
      <c r="IV157" s="403"/>
    </row>
    <row r="158" spans="1:256" s="493" customFormat="1" x14ac:dyDescent="0.3">
      <c r="A158" s="404"/>
      <c r="B158" s="579" t="s">
        <v>205</v>
      </c>
      <c r="C158" s="471"/>
      <c r="D158" s="471"/>
      <c r="E158" s="471"/>
      <c r="F158" s="471"/>
      <c r="G158" s="471"/>
      <c r="H158" s="471"/>
      <c r="I158" s="471"/>
      <c r="J158" s="471"/>
      <c r="K158" s="471"/>
      <c r="L158" s="471"/>
      <c r="M158" s="471"/>
      <c r="N158" s="488"/>
      <c r="O158" s="471"/>
      <c r="P158" s="402"/>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c r="AN158" s="403"/>
      <c r="AO158" s="403"/>
      <c r="AP158" s="403"/>
      <c r="AQ158" s="403"/>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c r="BT158" s="403"/>
      <c r="BU158" s="403"/>
      <c r="BV158" s="403"/>
      <c r="BW158" s="403"/>
      <c r="BX158" s="403"/>
      <c r="BY158" s="403"/>
      <c r="BZ158" s="403"/>
      <c r="CA158" s="403"/>
      <c r="CB158" s="403"/>
      <c r="CC158" s="403"/>
      <c r="CD158" s="403"/>
      <c r="CE158" s="403"/>
      <c r="CF158" s="403"/>
      <c r="CG158" s="403"/>
      <c r="CH158" s="403"/>
      <c r="CI158" s="403"/>
      <c r="CJ158" s="403"/>
      <c r="CK158" s="403"/>
      <c r="CL158" s="403"/>
      <c r="CM158" s="403"/>
      <c r="CN158" s="403"/>
      <c r="CO158" s="403"/>
      <c r="CP158" s="403"/>
      <c r="CQ158" s="403"/>
      <c r="CR158" s="403"/>
      <c r="CS158" s="403"/>
      <c r="CT158" s="403"/>
      <c r="CU158" s="403"/>
      <c r="CV158" s="403"/>
      <c r="CW158" s="403"/>
      <c r="CX158" s="403"/>
      <c r="CY158" s="403"/>
      <c r="CZ158" s="403"/>
      <c r="DA158" s="403"/>
      <c r="DB158" s="403"/>
      <c r="DC158" s="403"/>
      <c r="DD158" s="403"/>
      <c r="DE158" s="403"/>
      <c r="DF158" s="403"/>
      <c r="DG158" s="403"/>
      <c r="DH158" s="403"/>
      <c r="DI158" s="403"/>
      <c r="DJ158" s="403"/>
      <c r="DK158" s="403"/>
      <c r="DL158" s="403"/>
      <c r="DM158" s="403"/>
      <c r="DN158" s="403"/>
      <c r="DO158" s="403"/>
      <c r="DP158" s="403"/>
      <c r="DQ158" s="403"/>
      <c r="DR158" s="403"/>
      <c r="DS158" s="403"/>
      <c r="DT158" s="403"/>
      <c r="DU158" s="403"/>
      <c r="DV158" s="403"/>
      <c r="DW158" s="403"/>
      <c r="DX158" s="403"/>
      <c r="DY158" s="403"/>
      <c r="DZ158" s="403"/>
      <c r="EA158" s="403"/>
      <c r="EB158" s="403"/>
      <c r="EC158" s="403"/>
      <c r="ED158" s="403"/>
      <c r="EE158" s="403"/>
      <c r="EF158" s="403"/>
      <c r="EG158" s="403"/>
      <c r="EH158" s="403"/>
      <c r="EI158" s="403"/>
      <c r="EJ158" s="403"/>
      <c r="EK158" s="403"/>
      <c r="EL158" s="403"/>
      <c r="EM158" s="403"/>
      <c r="EN158" s="403"/>
      <c r="EO158" s="403"/>
      <c r="EP158" s="403"/>
      <c r="EQ158" s="403"/>
      <c r="ER158" s="403"/>
      <c r="ES158" s="403"/>
      <c r="ET158" s="403"/>
      <c r="EU158" s="403"/>
      <c r="EV158" s="403"/>
      <c r="EW158" s="403"/>
      <c r="EX158" s="403"/>
      <c r="EY158" s="403"/>
      <c r="EZ158" s="403"/>
      <c r="FA158" s="403"/>
      <c r="FB158" s="403"/>
      <c r="FC158" s="403"/>
      <c r="FD158" s="403"/>
      <c r="FE158" s="403"/>
      <c r="FF158" s="403"/>
      <c r="FG158" s="403"/>
      <c r="FH158" s="403"/>
      <c r="FI158" s="403"/>
      <c r="FJ158" s="403"/>
      <c r="FK158" s="403"/>
      <c r="FL158" s="403"/>
      <c r="FM158" s="403"/>
      <c r="FN158" s="403"/>
      <c r="FO158" s="403"/>
      <c r="FP158" s="403"/>
      <c r="FQ158" s="403"/>
      <c r="FR158" s="403"/>
      <c r="FS158" s="403"/>
      <c r="FT158" s="403"/>
      <c r="FU158" s="403"/>
      <c r="FV158" s="403"/>
      <c r="FW158" s="403"/>
      <c r="FX158" s="403"/>
      <c r="FY158" s="403"/>
      <c r="FZ158" s="403"/>
      <c r="GA158" s="403"/>
      <c r="GB158" s="403"/>
      <c r="GC158" s="403"/>
      <c r="GD158" s="403"/>
      <c r="GE158" s="403"/>
      <c r="GF158" s="403"/>
      <c r="GG158" s="403"/>
      <c r="GH158" s="403"/>
      <c r="GI158" s="403"/>
      <c r="GJ158" s="403"/>
      <c r="GK158" s="403"/>
      <c r="GL158" s="403"/>
      <c r="GM158" s="403"/>
      <c r="GN158" s="403"/>
      <c r="GO158" s="403"/>
      <c r="GP158" s="403"/>
      <c r="GQ158" s="403"/>
      <c r="GR158" s="403"/>
      <c r="GS158" s="403"/>
      <c r="GT158" s="403"/>
      <c r="GU158" s="403"/>
      <c r="GV158" s="403"/>
      <c r="GW158" s="403"/>
      <c r="GX158" s="403"/>
      <c r="GY158" s="403"/>
      <c r="GZ158" s="403"/>
      <c r="HA158" s="403"/>
      <c r="HB158" s="403"/>
      <c r="HC158" s="403"/>
      <c r="HD158" s="403"/>
      <c r="HE158" s="403"/>
      <c r="HF158" s="403"/>
      <c r="HG158" s="403"/>
      <c r="HH158" s="403"/>
      <c r="HI158" s="403"/>
      <c r="HJ158" s="403"/>
      <c r="HK158" s="403"/>
      <c r="HL158" s="403"/>
      <c r="HM158" s="403"/>
      <c r="HN158" s="403"/>
      <c r="HO158" s="403"/>
      <c r="HP158" s="403"/>
      <c r="HQ158" s="403"/>
      <c r="HR158" s="403"/>
      <c r="HS158" s="403"/>
      <c r="HT158" s="403"/>
      <c r="HU158" s="403"/>
      <c r="HV158" s="403"/>
      <c r="HW158" s="403"/>
      <c r="HX158" s="403"/>
      <c r="HY158" s="403"/>
      <c r="HZ158" s="403"/>
      <c r="IA158" s="403"/>
      <c r="IB158" s="403"/>
      <c r="IC158" s="403"/>
      <c r="ID158" s="403"/>
      <c r="IE158" s="403"/>
      <c r="IF158" s="403"/>
      <c r="IG158" s="403"/>
      <c r="IH158" s="403"/>
      <c r="II158" s="403"/>
      <c r="IJ158" s="403"/>
      <c r="IK158" s="403"/>
      <c r="IL158" s="403"/>
      <c r="IM158" s="403"/>
      <c r="IN158" s="403"/>
      <c r="IO158" s="403"/>
      <c r="IP158" s="403"/>
      <c r="IQ158" s="403"/>
      <c r="IR158" s="403"/>
      <c r="IS158" s="403"/>
      <c r="IT158" s="403"/>
      <c r="IU158" s="403"/>
      <c r="IV158" s="403"/>
    </row>
    <row r="159" spans="1:256" x14ac:dyDescent="0.3">
      <c r="A159" s="404"/>
      <c r="B159" s="471"/>
      <c r="C159" s="471"/>
      <c r="D159" s="471"/>
      <c r="E159" s="471"/>
      <c r="F159" s="471"/>
      <c r="G159" s="471"/>
      <c r="H159" s="471"/>
      <c r="I159" s="471"/>
      <c r="J159" s="471"/>
      <c r="K159" s="471"/>
      <c r="L159" s="471"/>
      <c r="M159" s="471"/>
      <c r="N159" s="488"/>
      <c r="O159" s="471"/>
      <c r="P159" s="402"/>
    </row>
    <row r="160" spans="1:256" s="494" customFormat="1" x14ac:dyDescent="0.3">
      <c r="A160" s="427"/>
      <c r="B160" s="428" t="s">
        <v>206</v>
      </c>
      <c r="C160" s="428"/>
      <c r="D160" s="428"/>
      <c r="E160" s="428"/>
      <c r="F160" s="428"/>
      <c r="G160" s="428"/>
      <c r="H160" s="428"/>
      <c r="I160" s="428"/>
      <c r="J160" s="428"/>
      <c r="K160" s="428"/>
      <c r="L160" s="428"/>
      <c r="M160" s="428"/>
      <c r="N160" s="470">
        <f>+'Feb 19'!N161</f>
        <v>36</v>
      </c>
      <c r="O160" s="430"/>
      <c r="P160" s="418"/>
      <c r="Q160" s="419"/>
      <c r="R160" s="419"/>
      <c r="S160" s="419"/>
      <c r="T160" s="419"/>
      <c r="U160" s="419"/>
      <c r="V160" s="419"/>
      <c r="W160" s="419"/>
      <c r="X160" s="419"/>
      <c r="Y160" s="419"/>
      <c r="Z160" s="419"/>
      <c r="AA160" s="419"/>
      <c r="AB160" s="419"/>
      <c r="AC160" s="419"/>
      <c r="AD160" s="419"/>
      <c r="AE160" s="419"/>
      <c r="AF160" s="419"/>
      <c r="AG160" s="419"/>
      <c r="AH160" s="419"/>
      <c r="AI160" s="419"/>
      <c r="AJ160" s="419"/>
      <c r="AK160" s="419"/>
      <c r="AL160" s="419"/>
      <c r="AM160" s="419"/>
      <c r="AN160" s="419"/>
      <c r="AO160" s="419"/>
      <c r="AP160" s="419"/>
      <c r="AQ160" s="419"/>
      <c r="AR160" s="419"/>
      <c r="AS160" s="419"/>
      <c r="AT160" s="419"/>
      <c r="AU160" s="419"/>
      <c r="AV160" s="419"/>
      <c r="AW160" s="419"/>
      <c r="AX160" s="419"/>
      <c r="AY160" s="419"/>
      <c r="AZ160" s="419"/>
      <c r="BA160" s="419"/>
      <c r="BB160" s="419"/>
      <c r="BC160" s="419"/>
      <c r="BD160" s="419"/>
      <c r="BE160" s="419"/>
      <c r="BF160" s="419"/>
      <c r="BG160" s="419"/>
      <c r="BH160" s="419"/>
      <c r="BI160" s="419"/>
      <c r="BJ160" s="419"/>
      <c r="BK160" s="419"/>
      <c r="BL160" s="419"/>
      <c r="BM160" s="419"/>
      <c r="BN160" s="419"/>
      <c r="BO160" s="419"/>
      <c r="BP160" s="419"/>
      <c r="BQ160" s="419"/>
      <c r="BR160" s="419"/>
      <c r="BS160" s="419"/>
      <c r="BT160" s="419"/>
      <c r="BU160" s="419"/>
      <c r="BV160" s="419"/>
      <c r="BW160" s="419"/>
      <c r="BX160" s="419"/>
      <c r="BY160" s="419"/>
      <c r="BZ160" s="419"/>
      <c r="CA160" s="419"/>
      <c r="CB160" s="419"/>
      <c r="CC160" s="419"/>
      <c r="CD160" s="419"/>
      <c r="CE160" s="419"/>
      <c r="CF160" s="419"/>
      <c r="CG160" s="419"/>
      <c r="CH160" s="419"/>
      <c r="CI160" s="419"/>
      <c r="CJ160" s="419"/>
      <c r="CK160" s="419"/>
      <c r="CL160" s="419"/>
      <c r="CM160" s="419"/>
      <c r="CN160" s="419"/>
      <c r="CO160" s="419"/>
      <c r="CP160" s="419"/>
      <c r="CQ160" s="419"/>
      <c r="CR160" s="419"/>
      <c r="CS160" s="419"/>
      <c r="CT160" s="419"/>
      <c r="CU160" s="419"/>
      <c r="CV160" s="419"/>
      <c r="CW160" s="419"/>
      <c r="CX160" s="419"/>
      <c r="CY160" s="419"/>
      <c r="CZ160" s="419"/>
      <c r="DA160" s="419"/>
      <c r="DB160" s="419"/>
      <c r="DC160" s="419"/>
      <c r="DD160" s="419"/>
      <c r="DE160" s="419"/>
      <c r="DF160" s="419"/>
      <c r="DG160" s="419"/>
      <c r="DH160" s="419"/>
      <c r="DI160" s="419"/>
      <c r="DJ160" s="419"/>
      <c r="DK160" s="419"/>
      <c r="DL160" s="419"/>
      <c r="DM160" s="419"/>
      <c r="DN160" s="419"/>
      <c r="DO160" s="419"/>
      <c r="DP160" s="419"/>
      <c r="DQ160" s="419"/>
      <c r="DR160" s="419"/>
      <c r="DS160" s="419"/>
      <c r="DT160" s="419"/>
      <c r="DU160" s="419"/>
      <c r="DV160" s="419"/>
      <c r="DW160" s="419"/>
      <c r="DX160" s="419"/>
      <c r="DY160" s="419"/>
      <c r="DZ160" s="419"/>
      <c r="EA160" s="419"/>
      <c r="EB160" s="419"/>
      <c r="EC160" s="419"/>
      <c r="ED160" s="419"/>
      <c r="EE160" s="419"/>
      <c r="EF160" s="419"/>
      <c r="EG160" s="419"/>
      <c r="EH160" s="419"/>
      <c r="EI160" s="419"/>
      <c r="EJ160" s="419"/>
      <c r="EK160" s="419"/>
      <c r="EL160" s="419"/>
      <c r="EM160" s="419"/>
      <c r="EN160" s="419"/>
      <c r="EO160" s="419"/>
      <c r="EP160" s="419"/>
      <c r="EQ160" s="419"/>
      <c r="ER160" s="419"/>
      <c r="ES160" s="419"/>
      <c r="ET160" s="419"/>
      <c r="EU160" s="419"/>
      <c r="EV160" s="419"/>
      <c r="EW160" s="419"/>
      <c r="EX160" s="419"/>
      <c r="EY160" s="419"/>
      <c r="EZ160" s="419"/>
      <c r="FA160" s="419"/>
      <c r="FB160" s="419"/>
      <c r="FC160" s="419"/>
      <c r="FD160" s="419"/>
      <c r="FE160" s="419"/>
      <c r="FF160" s="419"/>
      <c r="FG160" s="419"/>
      <c r="FH160" s="419"/>
      <c r="FI160" s="419"/>
      <c r="FJ160" s="419"/>
      <c r="FK160" s="419"/>
      <c r="FL160" s="419"/>
      <c r="FM160" s="419"/>
      <c r="FN160" s="419"/>
      <c r="FO160" s="419"/>
      <c r="FP160" s="419"/>
      <c r="FQ160" s="419"/>
      <c r="FR160" s="419"/>
      <c r="FS160" s="419"/>
      <c r="FT160" s="419"/>
      <c r="FU160" s="419"/>
      <c r="FV160" s="419"/>
      <c r="FW160" s="419"/>
      <c r="FX160" s="419"/>
      <c r="FY160" s="419"/>
      <c r="FZ160" s="419"/>
      <c r="GA160" s="419"/>
      <c r="GB160" s="419"/>
      <c r="GC160" s="419"/>
      <c r="GD160" s="419"/>
      <c r="GE160" s="419"/>
      <c r="GF160" s="419"/>
      <c r="GG160" s="419"/>
      <c r="GH160" s="419"/>
      <c r="GI160" s="419"/>
      <c r="GJ160" s="419"/>
      <c r="GK160" s="419"/>
      <c r="GL160" s="419"/>
      <c r="GM160" s="419"/>
      <c r="GN160" s="419"/>
      <c r="GO160" s="419"/>
      <c r="GP160" s="419"/>
      <c r="GQ160" s="419"/>
      <c r="GR160" s="419"/>
      <c r="GS160" s="419"/>
      <c r="GT160" s="419"/>
      <c r="GU160" s="419"/>
      <c r="GV160" s="419"/>
      <c r="GW160" s="419"/>
      <c r="GX160" s="419"/>
      <c r="GY160" s="419"/>
      <c r="GZ160" s="419"/>
      <c r="HA160" s="419"/>
      <c r="HB160" s="419"/>
      <c r="HC160" s="419"/>
      <c r="HD160" s="419"/>
      <c r="HE160" s="419"/>
      <c r="HF160" s="419"/>
      <c r="HG160" s="419"/>
      <c r="HH160" s="419"/>
      <c r="HI160" s="419"/>
      <c r="HJ160" s="419"/>
      <c r="HK160" s="419"/>
      <c r="HL160" s="419"/>
      <c r="HM160" s="419"/>
      <c r="HN160" s="419"/>
      <c r="HO160" s="419"/>
      <c r="HP160" s="419"/>
      <c r="HQ160" s="419"/>
      <c r="HR160" s="419"/>
      <c r="HS160" s="419"/>
      <c r="HT160" s="419"/>
      <c r="HU160" s="419"/>
      <c r="HV160" s="419"/>
      <c r="HW160" s="419"/>
      <c r="HX160" s="419"/>
      <c r="HY160" s="419"/>
      <c r="HZ160" s="419"/>
      <c r="IA160" s="419"/>
      <c r="IB160" s="419"/>
      <c r="IC160" s="419"/>
      <c r="ID160" s="419"/>
      <c r="IE160" s="419"/>
      <c r="IF160" s="419"/>
      <c r="IG160" s="419"/>
      <c r="IH160" s="419"/>
      <c r="II160" s="419"/>
      <c r="IJ160" s="419"/>
      <c r="IK160" s="419"/>
      <c r="IL160" s="419"/>
      <c r="IM160" s="419"/>
      <c r="IN160" s="419"/>
      <c r="IO160" s="419"/>
      <c r="IP160" s="419"/>
      <c r="IQ160" s="419"/>
      <c r="IR160" s="419"/>
      <c r="IS160" s="419"/>
      <c r="IT160" s="419"/>
      <c r="IU160" s="419"/>
      <c r="IV160" s="419"/>
    </row>
    <row r="161" spans="1:256" s="495" customFormat="1" x14ac:dyDescent="0.3">
      <c r="A161" s="427"/>
      <c r="B161" s="428" t="s">
        <v>207</v>
      </c>
      <c r="C161" s="428"/>
      <c r="D161" s="428"/>
      <c r="E161" s="428"/>
      <c r="F161" s="428"/>
      <c r="G161" s="428"/>
      <c r="H161" s="428"/>
      <c r="I161" s="428"/>
      <c r="J161" s="428"/>
      <c r="K161" s="428"/>
      <c r="L161" s="428"/>
      <c r="M161" s="428"/>
      <c r="N161" s="470">
        <v>36</v>
      </c>
      <c r="O161" s="430"/>
      <c r="P161" s="418"/>
      <c r="Q161" s="419"/>
      <c r="R161" s="419"/>
      <c r="S161" s="419"/>
      <c r="T161" s="419"/>
      <c r="U161" s="419"/>
      <c r="V161" s="419"/>
      <c r="W161" s="419"/>
      <c r="X161" s="419"/>
      <c r="Y161" s="419"/>
      <c r="Z161" s="419"/>
      <c r="AA161" s="419"/>
      <c r="AB161" s="419"/>
      <c r="AC161" s="419"/>
      <c r="AD161" s="419"/>
      <c r="AE161" s="419"/>
      <c r="AF161" s="419"/>
      <c r="AG161" s="419"/>
      <c r="AH161" s="419"/>
      <c r="AI161" s="419"/>
      <c r="AJ161" s="419"/>
      <c r="AK161" s="419"/>
      <c r="AL161" s="419"/>
      <c r="AM161" s="419"/>
      <c r="AN161" s="419"/>
      <c r="AO161" s="419"/>
      <c r="AP161" s="419"/>
      <c r="AQ161" s="419"/>
      <c r="AR161" s="419"/>
      <c r="AS161" s="419"/>
      <c r="AT161" s="419"/>
      <c r="AU161" s="419"/>
      <c r="AV161" s="419"/>
      <c r="AW161" s="419"/>
      <c r="AX161" s="419"/>
      <c r="AY161" s="419"/>
      <c r="AZ161" s="419"/>
      <c r="BA161" s="419"/>
      <c r="BB161" s="419"/>
      <c r="BC161" s="419"/>
      <c r="BD161" s="419"/>
      <c r="BE161" s="419"/>
      <c r="BF161" s="419"/>
      <c r="BG161" s="419"/>
      <c r="BH161" s="419"/>
      <c r="BI161" s="419"/>
      <c r="BJ161" s="419"/>
      <c r="BK161" s="419"/>
      <c r="BL161" s="419"/>
      <c r="BM161" s="419"/>
      <c r="BN161" s="419"/>
      <c r="BO161" s="419"/>
      <c r="BP161" s="419"/>
      <c r="BQ161" s="419"/>
      <c r="BR161" s="419"/>
      <c r="BS161" s="419"/>
      <c r="BT161" s="419"/>
      <c r="BU161" s="419"/>
      <c r="BV161" s="419"/>
      <c r="BW161" s="419"/>
      <c r="BX161" s="419"/>
      <c r="BY161" s="419"/>
      <c r="BZ161" s="419"/>
      <c r="CA161" s="419"/>
      <c r="CB161" s="419"/>
      <c r="CC161" s="419"/>
      <c r="CD161" s="419"/>
      <c r="CE161" s="419"/>
      <c r="CF161" s="419"/>
      <c r="CG161" s="419"/>
      <c r="CH161" s="419"/>
      <c r="CI161" s="419"/>
      <c r="CJ161" s="419"/>
      <c r="CK161" s="419"/>
      <c r="CL161" s="419"/>
      <c r="CM161" s="419"/>
      <c r="CN161" s="419"/>
      <c r="CO161" s="419"/>
      <c r="CP161" s="419"/>
      <c r="CQ161" s="419"/>
      <c r="CR161" s="419"/>
      <c r="CS161" s="419"/>
      <c r="CT161" s="419"/>
      <c r="CU161" s="419"/>
      <c r="CV161" s="419"/>
      <c r="CW161" s="419"/>
      <c r="CX161" s="419"/>
      <c r="CY161" s="419"/>
      <c r="CZ161" s="419"/>
      <c r="DA161" s="419"/>
      <c r="DB161" s="419"/>
      <c r="DC161" s="419"/>
      <c r="DD161" s="419"/>
      <c r="DE161" s="419"/>
      <c r="DF161" s="419"/>
      <c r="DG161" s="419"/>
      <c r="DH161" s="419"/>
      <c r="DI161" s="419"/>
      <c r="DJ161" s="419"/>
      <c r="DK161" s="419"/>
      <c r="DL161" s="419"/>
      <c r="DM161" s="419"/>
      <c r="DN161" s="419"/>
      <c r="DO161" s="419"/>
      <c r="DP161" s="419"/>
      <c r="DQ161" s="419"/>
      <c r="DR161" s="419"/>
      <c r="DS161" s="419"/>
      <c r="DT161" s="419"/>
      <c r="DU161" s="419"/>
      <c r="DV161" s="419"/>
      <c r="DW161" s="419"/>
      <c r="DX161" s="419"/>
      <c r="DY161" s="419"/>
      <c r="DZ161" s="419"/>
      <c r="EA161" s="419"/>
      <c r="EB161" s="419"/>
      <c r="EC161" s="419"/>
      <c r="ED161" s="419"/>
      <c r="EE161" s="419"/>
      <c r="EF161" s="419"/>
      <c r="EG161" s="419"/>
      <c r="EH161" s="419"/>
      <c r="EI161" s="419"/>
      <c r="EJ161" s="419"/>
      <c r="EK161" s="419"/>
      <c r="EL161" s="419"/>
      <c r="EM161" s="419"/>
      <c r="EN161" s="419"/>
      <c r="EO161" s="419"/>
      <c r="EP161" s="419"/>
      <c r="EQ161" s="419"/>
      <c r="ER161" s="419"/>
      <c r="ES161" s="419"/>
      <c r="ET161" s="419"/>
      <c r="EU161" s="419"/>
      <c r="EV161" s="419"/>
      <c r="EW161" s="419"/>
      <c r="EX161" s="419"/>
      <c r="EY161" s="419"/>
      <c r="EZ161" s="419"/>
      <c r="FA161" s="419"/>
      <c r="FB161" s="419"/>
      <c r="FC161" s="419"/>
      <c r="FD161" s="419"/>
      <c r="FE161" s="419"/>
      <c r="FF161" s="419"/>
      <c r="FG161" s="419"/>
      <c r="FH161" s="419"/>
      <c r="FI161" s="419"/>
      <c r="FJ161" s="419"/>
      <c r="FK161" s="419"/>
      <c r="FL161" s="419"/>
      <c r="FM161" s="419"/>
      <c r="FN161" s="419"/>
      <c r="FO161" s="419"/>
      <c r="FP161" s="419"/>
      <c r="FQ161" s="419"/>
      <c r="FR161" s="419"/>
      <c r="FS161" s="419"/>
      <c r="FT161" s="419"/>
      <c r="FU161" s="419"/>
      <c r="FV161" s="419"/>
      <c r="FW161" s="419"/>
      <c r="FX161" s="419"/>
      <c r="FY161" s="419"/>
      <c r="FZ161" s="419"/>
      <c r="GA161" s="419"/>
      <c r="GB161" s="419"/>
      <c r="GC161" s="419"/>
      <c r="GD161" s="419"/>
      <c r="GE161" s="419"/>
      <c r="GF161" s="419"/>
      <c r="GG161" s="419"/>
      <c r="GH161" s="419"/>
      <c r="GI161" s="419"/>
      <c r="GJ161" s="419"/>
      <c r="GK161" s="419"/>
      <c r="GL161" s="419"/>
      <c r="GM161" s="419"/>
      <c r="GN161" s="419"/>
      <c r="GO161" s="419"/>
      <c r="GP161" s="419"/>
      <c r="GQ161" s="419"/>
      <c r="GR161" s="419"/>
      <c r="GS161" s="419"/>
      <c r="GT161" s="419"/>
      <c r="GU161" s="419"/>
      <c r="GV161" s="419"/>
      <c r="GW161" s="419"/>
      <c r="GX161" s="419"/>
      <c r="GY161" s="419"/>
      <c r="GZ161" s="419"/>
      <c r="HA161" s="419"/>
      <c r="HB161" s="419"/>
      <c r="HC161" s="419"/>
      <c r="HD161" s="419"/>
      <c r="HE161" s="419"/>
      <c r="HF161" s="419"/>
      <c r="HG161" s="419"/>
      <c r="HH161" s="419"/>
      <c r="HI161" s="419"/>
      <c r="HJ161" s="419"/>
      <c r="HK161" s="419"/>
      <c r="HL161" s="419"/>
      <c r="HM161" s="419"/>
      <c r="HN161" s="419"/>
      <c r="HO161" s="419"/>
      <c r="HP161" s="419"/>
      <c r="HQ161" s="419"/>
      <c r="HR161" s="419"/>
      <c r="HS161" s="419"/>
      <c r="HT161" s="419"/>
      <c r="HU161" s="419"/>
      <c r="HV161" s="419"/>
      <c r="HW161" s="419"/>
      <c r="HX161" s="419"/>
      <c r="HY161" s="419"/>
      <c r="HZ161" s="419"/>
      <c r="IA161" s="419"/>
      <c r="IB161" s="419"/>
      <c r="IC161" s="419"/>
      <c r="ID161" s="419"/>
      <c r="IE161" s="419"/>
      <c r="IF161" s="419"/>
      <c r="IG161" s="419"/>
      <c r="IH161" s="419"/>
      <c r="II161" s="419"/>
      <c r="IJ161" s="419"/>
      <c r="IK161" s="419"/>
      <c r="IL161" s="419"/>
      <c r="IM161" s="419"/>
      <c r="IN161" s="419"/>
      <c r="IO161" s="419"/>
      <c r="IP161" s="419"/>
      <c r="IQ161" s="419"/>
      <c r="IR161" s="419"/>
      <c r="IS161" s="419"/>
      <c r="IT161" s="419"/>
      <c r="IU161" s="419"/>
      <c r="IV161" s="419"/>
    </row>
    <row r="162" spans="1:256" s="496" customFormat="1" x14ac:dyDescent="0.3">
      <c r="A162" s="427"/>
      <c r="B162" s="428" t="s">
        <v>208</v>
      </c>
      <c r="C162" s="428"/>
      <c r="D162" s="428"/>
      <c r="E162" s="428"/>
      <c r="F162" s="428"/>
      <c r="G162" s="428"/>
      <c r="H162" s="428"/>
      <c r="I162" s="428"/>
      <c r="J162" s="428"/>
      <c r="K162" s="428"/>
      <c r="L162" s="428"/>
      <c r="M162" s="428"/>
      <c r="N162" s="470">
        <v>0</v>
      </c>
      <c r="O162" s="430"/>
      <c r="P162" s="418"/>
      <c r="Q162" s="419"/>
      <c r="R162" s="419"/>
      <c r="S162" s="419"/>
      <c r="T162" s="419"/>
      <c r="U162" s="419"/>
      <c r="V162" s="419"/>
      <c r="W162" s="419"/>
      <c r="X162" s="419"/>
      <c r="Y162" s="419"/>
      <c r="Z162" s="419"/>
      <c r="AA162" s="419"/>
      <c r="AB162" s="419"/>
      <c r="AC162" s="419"/>
      <c r="AD162" s="419"/>
      <c r="AE162" s="419"/>
      <c r="AF162" s="419"/>
      <c r="AG162" s="419"/>
      <c r="AH162" s="419"/>
      <c r="AI162" s="419"/>
      <c r="AJ162" s="419"/>
      <c r="AK162" s="419"/>
      <c r="AL162" s="419"/>
      <c r="AM162" s="419"/>
      <c r="AN162" s="419"/>
      <c r="AO162" s="419"/>
      <c r="AP162" s="419"/>
      <c r="AQ162" s="419"/>
      <c r="AR162" s="419"/>
      <c r="AS162" s="419"/>
      <c r="AT162" s="419"/>
      <c r="AU162" s="419"/>
      <c r="AV162" s="419"/>
      <c r="AW162" s="419"/>
      <c r="AX162" s="419"/>
      <c r="AY162" s="419"/>
      <c r="AZ162" s="419"/>
      <c r="BA162" s="419"/>
      <c r="BB162" s="419"/>
      <c r="BC162" s="419"/>
      <c r="BD162" s="419"/>
      <c r="BE162" s="419"/>
      <c r="BF162" s="419"/>
      <c r="BG162" s="419"/>
      <c r="BH162" s="419"/>
      <c r="BI162" s="419"/>
      <c r="BJ162" s="419"/>
      <c r="BK162" s="419"/>
      <c r="BL162" s="419"/>
      <c r="BM162" s="419"/>
      <c r="BN162" s="419"/>
      <c r="BO162" s="419"/>
      <c r="BP162" s="419"/>
      <c r="BQ162" s="419"/>
      <c r="BR162" s="419"/>
      <c r="BS162" s="419"/>
      <c r="BT162" s="419"/>
      <c r="BU162" s="419"/>
      <c r="BV162" s="419"/>
      <c r="BW162" s="419"/>
      <c r="BX162" s="419"/>
      <c r="BY162" s="419"/>
      <c r="BZ162" s="419"/>
      <c r="CA162" s="419"/>
      <c r="CB162" s="419"/>
      <c r="CC162" s="419"/>
      <c r="CD162" s="419"/>
      <c r="CE162" s="419"/>
      <c r="CF162" s="419"/>
      <c r="CG162" s="419"/>
      <c r="CH162" s="419"/>
      <c r="CI162" s="419"/>
      <c r="CJ162" s="419"/>
      <c r="CK162" s="419"/>
      <c r="CL162" s="419"/>
      <c r="CM162" s="419"/>
      <c r="CN162" s="419"/>
      <c r="CO162" s="419"/>
      <c r="CP162" s="419"/>
      <c r="CQ162" s="419"/>
      <c r="CR162" s="419"/>
      <c r="CS162" s="419"/>
      <c r="CT162" s="419"/>
      <c r="CU162" s="419"/>
      <c r="CV162" s="419"/>
      <c r="CW162" s="419"/>
      <c r="CX162" s="419"/>
      <c r="CY162" s="419"/>
      <c r="CZ162" s="419"/>
      <c r="DA162" s="419"/>
      <c r="DB162" s="419"/>
      <c r="DC162" s="419"/>
      <c r="DD162" s="419"/>
      <c r="DE162" s="419"/>
      <c r="DF162" s="419"/>
      <c r="DG162" s="419"/>
      <c r="DH162" s="419"/>
      <c r="DI162" s="419"/>
      <c r="DJ162" s="419"/>
      <c r="DK162" s="419"/>
      <c r="DL162" s="419"/>
      <c r="DM162" s="419"/>
      <c r="DN162" s="419"/>
      <c r="DO162" s="419"/>
      <c r="DP162" s="419"/>
      <c r="DQ162" s="419"/>
      <c r="DR162" s="419"/>
      <c r="DS162" s="419"/>
      <c r="DT162" s="419"/>
      <c r="DU162" s="419"/>
      <c r="DV162" s="419"/>
      <c r="DW162" s="419"/>
      <c r="DX162" s="419"/>
      <c r="DY162" s="419"/>
      <c r="DZ162" s="419"/>
      <c r="EA162" s="419"/>
      <c r="EB162" s="419"/>
      <c r="EC162" s="419"/>
      <c r="ED162" s="419"/>
      <c r="EE162" s="419"/>
      <c r="EF162" s="419"/>
      <c r="EG162" s="419"/>
      <c r="EH162" s="419"/>
      <c r="EI162" s="419"/>
      <c r="EJ162" s="419"/>
      <c r="EK162" s="419"/>
      <c r="EL162" s="419"/>
      <c r="EM162" s="419"/>
      <c r="EN162" s="419"/>
      <c r="EO162" s="419"/>
      <c r="EP162" s="419"/>
      <c r="EQ162" s="419"/>
      <c r="ER162" s="419"/>
      <c r="ES162" s="419"/>
      <c r="ET162" s="419"/>
      <c r="EU162" s="419"/>
      <c r="EV162" s="419"/>
      <c r="EW162" s="419"/>
      <c r="EX162" s="419"/>
      <c r="EY162" s="419"/>
      <c r="EZ162" s="419"/>
      <c r="FA162" s="419"/>
      <c r="FB162" s="419"/>
      <c r="FC162" s="419"/>
      <c r="FD162" s="419"/>
      <c r="FE162" s="419"/>
      <c r="FF162" s="419"/>
      <c r="FG162" s="419"/>
      <c r="FH162" s="419"/>
      <c r="FI162" s="419"/>
      <c r="FJ162" s="419"/>
      <c r="FK162" s="419"/>
      <c r="FL162" s="419"/>
      <c r="FM162" s="419"/>
      <c r="FN162" s="419"/>
      <c r="FO162" s="419"/>
      <c r="FP162" s="419"/>
      <c r="FQ162" s="419"/>
      <c r="FR162" s="419"/>
      <c r="FS162" s="419"/>
      <c r="FT162" s="419"/>
      <c r="FU162" s="419"/>
      <c r="FV162" s="419"/>
      <c r="FW162" s="419"/>
      <c r="FX162" s="419"/>
      <c r="FY162" s="419"/>
      <c r="FZ162" s="419"/>
      <c r="GA162" s="419"/>
      <c r="GB162" s="419"/>
      <c r="GC162" s="419"/>
      <c r="GD162" s="419"/>
      <c r="GE162" s="419"/>
      <c r="GF162" s="419"/>
      <c r="GG162" s="419"/>
      <c r="GH162" s="419"/>
      <c r="GI162" s="419"/>
      <c r="GJ162" s="419"/>
      <c r="GK162" s="419"/>
      <c r="GL162" s="419"/>
      <c r="GM162" s="419"/>
      <c r="GN162" s="419"/>
      <c r="GO162" s="419"/>
      <c r="GP162" s="419"/>
      <c r="GQ162" s="419"/>
      <c r="GR162" s="419"/>
      <c r="GS162" s="419"/>
      <c r="GT162" s="419"/>
      <c r="GU162" s="419"/>
      <c r="GV162" s="419"/>
      <c r="GW162" s="419"/>
      <c r="GX162" s="419"/>
      <c r="GY162" s="419"/>
      <c r="GZ162" s="419"/>
      <c r="HA162" s="419"/>
      <c r="HB162" s="419"/>
      <c r="HC162" s="419"/>
      <c r="HD162" s="419"/>
      <c r="HE162" s="419"/>
      <c r="HF162" s="419"/>
      <c r="HG162" s="419"/>
      <c r="HH162" s="419"/>
      <c r="HI162" s="419"/>
      <c r="HJ162" s="419"/>
      <c r="HK162" s="419"/>
      <c r="HL162" s="419"/>
      <c r="HM162" s="419"/>
      <c r="HN162" s="419"/>
      <c r="HO162" s="419"/>
      <c r="HP162" s="419"/>
      <c r="HQ162" s="419"/>
      <c r="HR162" s="419"/>
      <c r="HS162" s="419"/>
      <c r="HT162" s="419"/>
      <c r="HU162" s="419"/>
      <c r="HV162" s="419"/>
      <c r="HW162" s="419"/>
      <c r="HX162" s="419"/>
      <c r="HY162" s="419"/>
      <c r="HZ162" s="419"/>
      <c r="IA162" s="419"/>
      <c r="IB162" s="419"/>
      <c r="IC162" s="419"/>
      <c r="ID162" s="419"/>
      <c r="IE162" s="419"/>
      <c r="IF162" s="419"/>
      <c r="IG162" s="419"/>
      <c r="IH162" s="419"/>
      <c r="II162" s="419"/>
      <c r="IJ162" s="419"/>
      <c r="IK162" s="419"/>
      <c r="IL162" s="419"/>
      <c r="IM162" s="419"/>
      <c r="IN162" s="419"/>
      <c r="IO162" s="419"/>
      <c r="IP162" s="419"/>
      <c r="IQ162" s="419"/>
      <c r="IR162" s="419"/>
      <c r="IS162" s="419"/>
      <c r="IT162" s="419"/>
      <c r="IU162" s="419"/>
      <c r="IV162" s="419"/>
    </row>
    <row r="163" spans="1:256" s="497" customFormat="1" x14ac:dyDescent="0.3">
      <c r="A163" s="427"/>
      <c r="B163" s="428" t="s">
        <v>217</v>
      </c>
      <c r="C163" s="428"/>
      <c r="D163" s="428"/>
      <c r="E163" s="428"/>
      <c r="F163" s="428"/>
      <c r="G163" s="428"/>
      <c r="H163" s="428"/>
      <c r="I163" s="428"/>
      <c r="J163" s="428"/>
      <c r="K163" s="428"/>
      <c r="L163" s="428"/>
      <c r="M163" s="428"/>
      <c r="N163" s="470">
        <f>N160-N161-N162</f>
        <v>0</v>
      </c>
      <c r="O163" s="430"/>
      <c r="P163" s="418"/>
      <c r="Q163" s="419"/>
      <c r="R163" s="419"/>
      <c r="S163" s="419"/>
      <c r="T163" s="419"/>
      <c r="U163" s="419"/>
      <c r="V163" s="419"/>
      <c r="W163" s="419"/>
      <c r="X163" s="419"/>
      <c r="Y163" s="419"/>
      <c r="Z163" s="419"/>
      <c r="AA163" s="419"/>
      <c r="AB163" s="419"/>
      <c r="AC163" s="419"/>
      <c r="AD163" s="419"/>
      <c r="AE163" s="419"/>
      <c r="AF163" s="419"/>
      <c r="AG163" s="419"/>
      <c r="AH163" s="419"/>
      <c r="AI163" s="419"/>
      <c r="AJ163" s="419"/>
      <c r="AK163" s="419"/>
      <c r="AL163" s="419"/>
      <c r="AM163" s="419"/>
      <c r="AN163" s="419"/>
      <c r="AO163" s="419"/>
      <c r="AP163" s="419"/>
      <c r="AQ163" s="419"/>
      <c r="AR163" s="419"/>
      <c r="AS163" s="419"/>
      <c r="AT163" s="419"/>
      <c r="AU163" s="419"/>
      <c r="AV163" s="419"/>
      <c r="AW163" s="419"/>
      <c r="AX163" s="419"/>
      <c r="AY163" s="419"/>
      <c r="AZ163" s="419"/>
      <c r="BA163" s="419"/>
      <c r="BB163" s="419"/>
      <c r="BC163" s="419"/>
      <c r="BD163" s="419"/>
      <c r="BE163" s="419"/>
      <c r="BF163" s="419"/>
      <c r="BG163" s="419"/>
      <c r="BH163" s="419"/>
      <c r="BI163" s="419"/>
      <c r="BJ163" s="419"/>
      <c r="BK163" s="419"/>
      <c r="BL163" s="419"/>
      <c r="BM163" s="419"/>
      <c r="BN163" s="419"/>
      <c r="BO163" s="419"/>
      <c r="BP163" s="419"/>
      <c r="BQ163" s="419"/>
      <c r="BR163" s="419"/>
      <c r="BS163" s="419"/>
      <c r="BT163" s="419"/>
      <c r="BU163" s="419"/>
      <c r="BV163" s="419"/>
      <c r="BW163" s="419"/>
      <c r="BX163" s="419"/>
      <c r="BY163" s="419"/>
      <c r="BZ163" s="419"/>
      <c r="CA163" s="419"/>
      <c r="CB163" s="419"/>
      <c r="CC163" s="419"/>
      <c r="CD163" s="419"/>
      <c r="CE163" s="419"/>
      <c r="CF163" s="419"/>
      <c r="CG163" s="419"/>
      <c r="CH163" s="419"/>
      <c r="CI163" s="419"/>
      <c r="CJ163" s="419"/>
      <c r="CK163" s="419"/>
      <c r="CL163" s="419"/>
      <c r="CM163" s="419"/>
      <c r="CN163" s="419"/>
      <c r="CO163" s="419"/>
      <c r="CP163" s="419"/>
      <c r="CQ163" s="419"/>
      <c r="CR163" s="419"/>
      <c r="CS163" s="419"/>
      <c r="CT163" s="419"/>
      <c r="CU163" s="419"/>
      <c r="CV163" s="419"/>
      <c r="CW163" s="419"/>
      <c r="CX163" s="419"/>
      <c r="CY163" s="419"/>
      <c r="CZ163" s="419"/>
      <c r="DA163" s="419"/>
      <c r="DB163" s="419"/>
      <c r="DC163" s="419"/>
      <c r="DD163" s="419"/>
      <c r="DE163" s="419"/>
      <c r="DF163" s="419"/>
      <c r="DG163" s="419"/>
      <c r="DH163" s="419"/>
      <c r="DI163" s="419"/>
      <c r="DJ163" s="419"/>
      <c r="DK163" s="419"/>
      <c r="DL163" s="419"/>
      <c r="DM163" s="419"/>
      <c r="DN163" s="419"/>
      <c r="DO163" s="419"/>
      <c r="DP163" s="419"/>
      <c r="DQ163" s="419"/>
      <c r="DR163" s="419"/>
      <c r="DS163" s="419"/>
      <c r="DT163" s="419"/>
      <c r="DU163" s="419"/>
      <c r="DV163" s="419"/>
      <c r="DW163" s="419"/>
      <c r="DX163" s="419"/>
      <c r="DY163" s="419"/>
      <c r="DZ163" s="419"/>
      <c r="EA163" s="419"/>
      <c r="EB163" s="419"/>
      <c r="EC163" s="419"/>
      <c r="ED163" s="419"/>
      <c r="EE163" s="419"/>
      <c r="EF163" s="419"/>
      <c r="EG163" s="419"/>
      <c r="EH163" s="419"/>
      <c r="EI163" s="419"/>
      <c r="EJ163" s="419"/>
      <c r="EK163" s="419"/>
      <c r="EL163" s="419"/>
      <c r="EM163" s="419"/>
      <c r="EN163" s="419"/>
      <c r="EO163" s="419"/>
      <c r="EP163" s="419"/>
      <c r="EQ163" s="419"/>
      <c r="ER163" s="419"/>
      <c r="ES163" s="419"/>
      <c r="ET163" s="419"/>
      <c r="EU163" s="419"/>
      <c r="EV163" s="419"/>
      <c r="EW163" s="419"/>
      <c r="EX163" s="419"/>
      <c r="EY163" s="419"/>
      <c r="EZ163" s="419"/>
      <c r="FA163" s="419"/>
      <c r="FB163" s="419"/>
      <c r="FC163" s="419"/>
      <c r="FD163" s="419"/>
      <c r="FE163" s="419"/>
      <c r="FF163" s="419"/>
      <c r="FG163" s="419"/>
      <c r="FH163" s="419"/>
      <c r="FI163" s="419"/>
      <c r="FJ163" s="419"/>
      <c r="FK163" s="419"/>
      <c r="FL163" s="419"/>
      <c r="FM163" s="419"/>
      <c r="FN163" s="419"/>
      <c r="FO163" s="419"/>
      <c r="FP163" s="419"/>
      <c r="FQ163" s="419"/>
      <c r="FR163" s="419"/>
      <c r="FS163" s="419"/>
      <c r="FT163" s="419"/>
      <c r="FU163" s="419"/>
      <c r="FV163" s="419"/>
      <c r="FW163" s="419"/>
      <c r="FX163" s="419"/>
      <c r="FY163" s="419"/>
      <c r="FZ163" s="419"/>
      <c r="GA163" s="419"/>
      <c r="GB163" s="419"/>
      <c r="GC163" s="419"/>
      <c r="GD163" s="419"/>
      <c r="GE163" s="419"/>
      <c r="GF163" s="419"/>
      <c r="GG163" s="419"/>
      <c r="GH163" s="419"/>
      <c r="GI163" s="419"/>
      <c r="GJ163" s="419"/>
      <c r="GK163" s="419"/>
      <c r="GL163" s="419"/>
      <c r="GM163" s="419"/>
      <c r="GN163" s="419"/>
      <c r="GO163" s="419"/>
      <c r="GP163" s="419"/>
      <c r="GQ163" s="419"/>
      <c r="GR163" s="419"/>
      <c r="GS163" s="419"/>
      <c r="GT163" s="419"/>
      <c r="GU163" s="419"/>
      <c r="GV163" s="419"/>
      <c r="GW163" s="419"/>
      <c r="GX163" s="419"/>
      <c r="GY163" s="419"/>
      <c r="GZ163" s="419"/>
      <c r="HA163" s="419"/>
      <c r="HB163" s="419"/>
      <c r="HC163" s="419"/>
      <c r="HD163" s="419"/>
      <c r="HE163" s="419"/>
      <c r="HF163" s="419"/>
      <c r="HG163" s="419"/>
      <c r="HH163" s="419"/>
      <c r="HI163" s="419"/>
      <c r="HJ163" s="419"/>
      <c r="HK163" s="419"/>
      <c r="HL163" s="419"/>
      <c r="HM163" s="419"/>
      <c r="HN163" s="419"/>
      <c r="HO163" s="419"/>
      <c r="HP163" s="419"/>
      <c r="HQ163" s="419"/>
      <c r="HR163" s="419"/>
      <c r="HS163" s="419"/>
      <c r="HT163" s="419"/>
      <c r="HU163" s="419"/>
      <c r="HV163" s="419"/>
      <c r="HW163" s="419"/>
      <c r="HX163" s="419"/>
      <c r="HY163" s="419"/>
      <c r="HZ163" s="419"/>
      <c r="IA163" s="419"/>
      <c r="IB163" s="419"/>
      <c r="IC163" s="419"/>
      <c r="ID163" s="419"/>
      <c r="IE163" s="419"/>
      <c r="IF163" s="419"/>
      <c r="IG163" s="419"/>
      <c r="IH163" s="419"/>
      <c r="II163" s="419"/>
      <c r="IJ163" s="419"/>
      <c r="IK163" s="419"/>
      <c r="IL163" s="419"/>
      <c r="IM163" s="419"/>
      <c r="IN163" s="419"/>
      <c r="IO163" s="419"/>
      <c r="IP163" s="419"/>
      <c r="IQ163" s="419"/>
      <c r="IR163" s="419"/>
      <c r="IS163" s="419"/>
      <c r="IT163" s="419"/>
      <c r="IU163" s="419"/>
      <c r="IV163" s="419"/>
    </row>
    <row r="164" spans="1:256" s="499" customFormat="1" ht="16.2" thickBot="1" x14ac:dyDescent="0.35">
      <c r="A164" s="404"/>
      <c r="B164" s="476"/>
      <c r="C164" s="476"/>
      <c r="D164" s="476"/>
      <c r="E164" s="476"/>
      <c r="F164" s="476"/>
      <c r="G164" s="476"/>
      <c r="H164" s="476"/>
      <c r="I164" s="476"/>
      <c r="J164" s="476"/>
      <c r="K164" s="476"/>
      <c r="L164" s="476"/>
      <c r="M164" s="476"/>
      <c r="N164" s="498"/>
      <c r="O164" s="476"/>
      <c r="P164" s="402"/>
      <c r="Q164" s="403"/>
      <c r="R164" s="403"/>
      <c r="S164" s="403"/>
      <c r="T164" s="403"/>
      <c r="U164" s="403"/>
      <c r="V164" s="403"/>
      <c r="W164" s="403"/>
      <c r="X164" s="403"/>
      <c r="Y164" s="403"/>
      <c r="Z164" s="403"/>
      <c r="AA164" s="403"/>
      <c r="AB164" s="403"/>
      <c r="AC164" s="403"/>
      <c r="AD164" s="403"/>
      <c r="AE164" s="403"/>
      <c r="AF164" s="403"/>
      <c r="AG164" s="403"/>
      <c r="AH164" s="403"/>
      <c r="AI164" s="403"/>
      <c r="AJ164" s="403"/>
      <c r="AK164" s="403"/>
      <c r="AL164" s="403"/>
      <c r="AM164" s="403"/>
      <c r="AN164" s="403"/>
      <c r="AO164" s="403"/>
      <c r="AP164" s="40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c r="BT164" s="403"/>
      <c r="BU164" s="403"/>
      <c r="BV164" s="403"/>
      <c r="BW164" s="403"/>
      <c r="BX164" s="403"/>
      <c r="BY164" s="403"/>
      <c r="BZ164" s="403"/>
      <c r="CA164" s="403"/>
      <c r="CB164" s="403"/>
      <c r="CC164" s="403"/>
      <c r="CD164" s="403"/>
      <c r="CE164" s="403"/>
      <c r="CF164" s="403"/>
      <c r="CG164" s="403"/>
      <c r="CH164" s="403"/>
      <c r="CI164" s="403"/>
      <c r="CJ164" s="403"/>
      <c r="CK164" s="403"/>
      <c r="CL164" s="403"/>
      <c r="CM164" s="403"/>
      <c r="CN164" s="403"/>
      <c r="CO164" s="403"/>
      <c r="CP164" s="403"/>
      <c r="CQ164" s="403"/>
      <c r="CR164" s="403"/>
      <c r="CS164" s="403"/>
      <c r="CT164" s="403"/>
      <c r="CU164" s="403"/>
      <c r="CV164" s="403"/>
      <c r="CW164" s="403"/>
      <c r="CX164" s="403"/>
      <c r="CY164" s="403"/>
      <c r="CZ164" s="403"/>
      <c r="DA164" s="403"/>
      <c r="DB164" s="403"/>
      <c r="DC164" s="403"/>
      <c r="DD164" s="403"/>
      <c r="DE164" s="403"/>
      <c r="DF164" s="403"/>
      <c r="DG164" s="403"/>
      <c r="DH164" s="403"/>
      <c r="DI164" s="403"/>
      <c r="DJ164" s="403"/>
      <c r="DK164" s="403"/>
      <c r="DL164" s="403"/>
      <c r="DM164" s="403"/>
      <c r="DN164" s="403"/>
      <c r="DO164" s="403"/>
      <c r="DP164" s="403"/>
      <c r="DQ164" s="403"/>
      <c r="DR164" s="403"/>
      <c r="DS164" s="403"/>
      <c r="DT164" s="403"/>
      <c r="DU164" s="403"/>
      <c r="DV164" s="403"/>
      <c r="DW164" s="403"/>
      <c r="DX164" s="403"/>
      <c r="DY164" s="403"/>
      <c r="DZ164" s="403"/>
      <c r="EA164" s="403"/>
      <c r="EB164" s="403"/>
      <c r="EC164" s="403"/>
      <c r="ED164" s="403"/>
      <c r="EE164" s="403"/>
      <c r="EF164" s="403"/>
      <c r="EG164" s="403"/>
      <c r="EH164" s="403"/>
      <c r="EI164" s="403"/>
      <c r="EJ164" s="403"/>
      <c r="EK164" s="403"/>
      <c r="EL164" s="403"/>
      <c r="EM164" s="403"/>
      <c r="EN164" s="403"/>
      <c r="EO164" s="403"/>
      <c r="EP164" s="403"/>
      <c r="EQ164" s="403"/>
      <c r="ER164" s="403"/>
      <c r="ES164" s="403"/>
      <c r="ET164" s="403"/>
      <c r="EU164" s="403"/>
      <c r="EV164" s="403"/>
      <c r="EW164" s="403"/>
      <c r="EX164" s="403"/>
      <c r="EY164" s="403"/>
      <c r="EZ164" s="403"/>
      <c r="FA164" s="403"/>
      <c r="FB164" s="403"/>
      <c r="FC164" s="403"/>
      <c r="FD164" s="403"/>
      <c r="FE164" s="403"/>
      <c r="FF164" s="403"/>
      <c r="FG164" s="403"/>
      <c r="FH164" s="403"/>
      <c r="FI164" s="403"/>
      <c r="FJ164" s="403"/>
      <c r="FK164" s="403"/>
      <c r="FL164" s="403"/>
      <c r="FM164" s="403"/>
      <c r="FN164" s="403"/>
      <c r="FO164" s="403"/>
      <c r="FP164" s="403"/>
      <c r="FQ164" s="403"/>
      <c r="FR164" s="403"/>
      <c r="FS164" s="403"/>
      <c r="FT164" s="403"/>
      <c r="FU164" s="403"/>
      <c r="FV164" s="403"/>
      <c r="FW164" s="403"/>
      <c r="FX164" s="403"/>
      <c r="FY164" s="403"/>
      <c r="FZ164" s="403"/>
      <c r="GA164" s="403"/>
      <c r="GB164" s="403"/>
      <c r="GC164" s="403"/>
      <c r="GD164" s="403"/>
      <c r="GE164" s="403"/>
      <c r="GF164" s="403"/>
      <c r="GG164" s="403"/>
      <c r="GH164" s="403"/>
      <c r="GI164" s="403"/>
      <c r="GJ164" s="403"/>
      <c r="GK164" s="403"/>
      <c r="GL164" s="403"/>
      <c r="GM164" s="403"/>
      <c r="GN164" s="403"/>
      <c r="GO164" s="403"/>
      <c r="GP164" s="403"/>
      <c r="GQ164" s="403"/>
      <c r="GR164" s="403"/>
      <c r="GS164" s="403"/>
      <c r="GT164" s="403"/>
      <c r="GU164" s="403"/>
      <c r="GV164" s="403"/>
      <c r="GW164" s="403"/>
      <c r="GX164" s="403"/>
      <c r="GY164" s="403"/>
      <c r="GZ164" s="403"/>
      <c r="HA164" s="403"/>
      <c r="HB164" s="403"/>
      <c r="HC164" s="403"/>
      <c r="HD164" s="403"/>
      <c r="HE164" s="403"/>
      <c r="HF164" s="403"/>
      <c r="HG164" s="403"/>
      <c r="HH164" s="403"/>
      <c r="HI164" s="403"/>
      <c r="HJ164" s="403"/>
      <c r="HK164" s="403"/>
      <c r="HL164" s="403"/>
      <c r="HM164" s="403"/>
      <c r="HN164" s="403"/>
      <c r="HO164" s="403"/>
      <c r="HP164" s="403"/>
      <c r="HQ164" s="403"/>
      <c r="HR164" s="403"/>
      <c r="HS164" s="403"/>
      <c r="HT164" s="403"/>
      <c r="HU164" s="403"/>
      <c r="HV164" s="403"/>
      <c r="HW164" s="403"/>
      <c r="HX164" s="403"/>
      <c r="HY164" s="403"/>
      <c r="HZ164" s="403"/>
      <c r="IA164" s="403"/>
      <c r="IB164" s="403"/>
      <c r="IC164" s="403"/>
      <c r="ID164" s="403"/>
      <c r="IE164" s="403"/>
      <c r="IF164" s="403"/>
      <c r="IG164" s="403"/>
      <c r="IH164" s="403"/>
      <c r="II164" s="403"/>
      <c r="IJ164" s="403"/>
      <c r="IK164" s="403"/>
      <c r="IL164" s="403"/>
      <c r="IM164" s="403"/>
      <c r="IN164" s="403"/>
      <c r="IO164" s="403"/>
      <c r="IP164" s="403"/>
      <c r="IQ164" s="403"/>
      <c r="IR164" s="403"/>
      <c r="IS164" s="403"/>
      <c r="IT164" s="403"/>
      <c r="IU164" s="403"/>
      <c r="IV164" s="403"/>
    </row>
    <row r="165" spans="1:256" s="504" customFormat="1" x14ac:dyDescent="0.3">
      <c r="A165" s="500"/>
      <c r="B165" s="501"/>
      <c r="C165" s="501"/>
      <c r="D165" s="501"/>
      <c r="E165" s="501"/>
      <c r="F165" s="501"/>
      <c r="G165" s="501"/>
      <c r="H165" s="501"/>
      <c r="I165" s="501"/>
      <c r="J165" s="501"/>
      <c r="K165" s="501"/>
      <c r="L165" s="501"/>
      <c r="M165" s="501"/>
      <c r="N165" s="502"/>
      <c r="O165" s="501"/>
      <c r="P165" s="503"/>
    </row>
    <row r="166" spans="1:256" s="569" customFormat="1" x14ac:dyDescent="0.3">
      <c r="A166" s="572"/>
      <c r="B166" s="578" t="s">
        <v>55</v>
      </c>
      <c r="C166" s="576"/>
      <c r="D166" s="580"/>
      <c r="E166" s="580"/>
      <c r="F166" s="580"/>
      <c r="G166" s="580"/>
      <c r="H166" s="580"/>
      <c r="I166" s="580"/>
      <c r="J166" s="580"/>
      <c r="K166" s="580" t="s">
        <v>98</v>
      </c>
      <c r="L166" s="580" t="s">
        <v>226</v>
      </c>
      <c r="M166" s="408"/>
      <c r="N166" s="581" t="s">
        <v>114</v>
      </c>
      <c r="O166" s="408"/>
      <c r="P166" s="568"/>
    </row>
    <row r="167" spans="1:256" s="419" customFormat="1" x14ac:dyDescent="0.3">
      <c r="A167" s="427"/>
      <c r="B167" s="428" t="s">
        <v>56</v>
      </c>
      <c r="C167" s="428"/>
      <c r="D167" s="428"/>
      <c r="E167" s="428"/>
      <c r="F167" s="428"/>
      <c r="G167" s="428"/>
      <c r="H167" s="428"/>
      <c r="I167" s="428"/>
      <c r="J167" s="428"/>
      <c r="K167" s="470" t="s">
        <v>117</v>
      </c>
      <c r="L167" s="449" t="s">
        <v>117</v>
      </c>
      <c r="M167" s="428"/>
      <c r="N167" s="470"/>
      <c r="O167" s="430"/>
      <c r="P167" s="418"/>
    </row>
    <row r="168" spans="1:256" s="419" customFormat="1" x14ac:dyDescent="0.3">
      <c r="A168" s="427"/>
      <c r="B168" s="428" t="s">
        <v>57</v>
      </c>
      <c r="C168" s="428"/>
      <c r="D168" s="428"/>
      <c r="E168" s="428"/>
      <c r="F168" s="428"/>
      <c r="G168" s="428"/>
      <c r="H168" s="428"/>
      <c r="I168" s="428"/>
      <c r="J168" s="428"/>
      <c r="K168" s="470">
        <v>0</v>
      </c>
      <c r="L168" s="470">
        <f>+'Feb 19'!L168</f>
        <v>19642</v>
      </c>
      <c r="M168" s="428"/>
      <c r="N168" s="470">
        <f>K168+L168</f>
        <v>19642</v>
      </c>
      <c r="O168" s="430"/>
      <c r="P168" s="418"/>
    </row>
    <row r="169" spans="1:256" s="419" customFormat="1" x14ac:dyDescent="0.3">
      <c r="A169" s="427"/>
      <c r="B169" s="428" t="s">
        <v>58</v>
      </c>
      <c r="C169" s="428"/>
      <c r="D169" s="428"/>
      <c r="E169" s="428"/>
      <c r="F169" s="428"/>
      <c r="G169" s="428"/>
      <c r="H169" s="428"/>
      <c r="I169" s="428"/>
      <c r="J169" s="428"/>
      <c r="K169" s="469">
        <v>0</v>
      </c>
      <c r="L169" s="469">
        <f>-L108</f>
        <v>0</v>
      </c>
      <c r="M169" s="428"/>
      <c r="N169" s="470">
        <f>K169+L169</f>
        <v>0</v>
      </c>
      <c r="O169" s="430"/>
      <c r="P169" s="418"/>
    </row>
    <row r="170" spans="1:256" s="419" customFormat="1" x14ac:dyDescent="0.3">
      <c r="A170" s="427"/>
      <c r="B170" s="428" t="s">
        <v>59</v>
      </c>
      <c r="C170" s="428"/>
      <c r="D170" s="428"/>
      <c r="E170" s="428"/>
      <c r="F170" s="428"/>
      <c r="G170" s="428"/>
      <c r="H170" s="428"/>
      <c r="I170" s="428"/>
      <c r="J170" s="428"/>
      <c r="K170" s="470">
        <f>K168+K169</f>
        <v>0</v>
      </c>
      <c r="L170" s="470">
        <f>L169+L168</f>
        <v>19642</v>
      </c>
      <c r="M170" s="428"/>
      <c r="N170" s="470">
        <f>K170+L170</f>
        <v>19642</v>
      </c>
      <c r="O170" s="430"/>
      <c r="P170" s="418"/>
    </row>
    <row r="171" spans="1:256" s="419" customFormat="1" x14ac:dyDescent="0.3">
      <c r="A171" s="427"/>
      <c r="B171" s="428" t="s">
        <v>60</v>
      </c>
      <c r="C171" s="428"/>
      <c r="D171" s="428"/>
      <c r="E171" s="428"/>
      <c r="F171" s="428"/>
      <c r="G171" s="428"/>
      <c r="H171" s="428"/>
      <c r="I171" s="428"/>
      <c r="J171" s="428"/>
      <c r="K171" s="470" t="s">
        <v>117</v>
      </c>
      <c r="L171" s="449" t="s">
        <v>117</v>
      </c>
      <c r="M171" s="428"/>
      <c r="N171" s="470"/>
      <c r="O171" s="430"/>
      <c r="P171" s="418"/>
    </row>
    <row r="172" spans="1:256" ht="16.2" thickBot="1" x14ac:dyDescent="0.35">
      <c r="A172" s="404"/>
      <c r="B172" s="471"/>
      <c r="C172" s="471"/>
      <c r="D172" s="471"/>
      <c r="E172" s="471"/>
      <c r="F172" s="471"/>
      <c r="G172" s="471"/>
      <c r="H172" s="471"/>
      <c r="I172" s="471"/>
      <c r="J172" s="471"/>
      <c r="K172" s="471"/>
      <c r="L172" s="471"/>
      <c r="M172" s="471"/>
      <c r="N172" s="488"/>
      <c r="O172" s="471"/>
      <c r="P172" s="402"/>
    </row>
    <row r="173" spans="1:256" x14ac:dyDescent="0.3">
      <c r="A173" s="399"/>
      <c r="B173" s="401"/>
      <c r="C173" s="401"/>
      <c r="D173" s="401"/>
      <c r="E173" s="401"/>
      <c r="F173" s="401"/>
      <c r="G173" s="401"/>
      <c r="H173" s="401"/>
      <c r="I173" s="401"/>
      <c r="J173" s="401"/>
      <c r="K173" s="401"/>
      <c r="L173" s="401"/>
      <c r="M173" s="401"/>
      <c r="N173" s="491"/>
      <c r="O173" s="401"/>
      <c r="P173" s="402"/>
    </row>
    <row r="174" spans="1:256" x14ac:dyDescent="0.3">
      <c r="A174" s="404"/>
      <c r="B174" s="578" t="s">
        <v>61</v>
      </c>
      <c r="C174" s="406"/>
      <c r="D174" s="406"/>
      <c r="E174" s="406"/>
      <c r="F174" s="406"/>
      <c r="G174" s="406"/>
      <c r="H174" s="406"/>
      <c r="I174" s="406"/>
      <c r="J174" s="406"/>
      <c r="K174" s="406"/>
      <c r="L174" s="406"/>
      <c r="M174" s="406"/>
      <c r="N174" s="505"/>
      <c r="O174" s="406"/>
      <c r="P174" s="402"/>
    </row>
    <row r="175" spans="1:256" s="419" customFormat="1" x14ac:dyDescent="0.3">
      <c r="A175" s="427"/>
      <c r="B175" s="428" t="s">
        <v>62</v>
      </c>
      <c r="C175" s="428"/>
      <c r="D175" s="428"/>
      <c r="E175" s="428"/>
      <c r="F175" s="428"/>
      <c r="G175" s="428"/>
      <c r="H175" s="428"/>
      <c r="I175" s="428"/>
      <c r="J175" s="428"/>
      <c r="K175" s="428"/>
      <c r="L175" s="428"/>
      <c r="M175" s="428"/>
      <c r="N175" s="489">
        <v>0</v>
      </c>
      <c r="O175" s="430"/>
      <c r="P175" s="418"/>
    </row>
    <row r="176" spans="1:256" s="419" customFormat="1" x14ac:dyDescent="0.3">
      <c r="A176" s="427"/>
      <c r="B176" s="428" t="s">
        <v>63</v>
      </c>
      <c r="C176" s="428"/>
      <c r="D176" s="428"/>
      <c r="E176" s="428"/>
      <c r="F176" s="428"/>
      <c r="G176" s="428"/>
      <c r="H176" s="428"/>
      <c r="I176" s="428"/>
      <c r="J176" s="428"/>
      <c r="K176" s="428"/>
      <c r="L176" s="428"/>
      <c r="M176" s="428"/>
      <c r="N176" s="506">
        <v>0</v>
      </c>
      <c r="O176" s="430"/>
      <c r="P176" s="418"/>
    </row>
    <row r="177" spans="1:16" s="419" customFormat="1" x14ac:dyDescent="0.3">
      <c r="A177" s="427"/>
      <c r="B177" s="428" t="s">
        <v>64</v>
      </c>
      <c r="C177" s="428"/>
      <c r="D177" s="428"/>
      <c r="E177" s="428"/>
      <c r="F177" s="428"/>
      <c r="G177" s="428"/>
      <c r="H177" s="428"/>
      <c r="I177" s="428"/>
      <c r="J177" s="428"/>
      <c r="K177" s="428"/>
      <c r="L177" s="428"/>
      <c r="M177" s="428"/>
      <c r="N177" s="489">
        <v>0</v>
      </c>
      <c r="O177" s="430"/>
      <c r="P177" s="418"/>
    </row>
    <row r="178" spans="1:16" s="419" customFormat="1" x14ac:dyDescent="0.3">
      <c r="A178" s="427"/>
      <c r="B178" s="428" t="s">
        <v>65</v>
      </c>
      <c r="C178" s="428"/>
      <c r="D178" s="428"/>
      <c r="E178" s="428"/>
      <c r="F178" s="428"/>
      <c r="G178" s="428"/>
      <c r="H178" s="428"/>
      <c r="I178" s="428"/>
      <c r="J178" s="428"/>
      <c r="K178" s="428"/>
      <c r="L178" s="428"/>
      <c r="M178" s="428"/>
      <c r="N178" s="506">
        <v>0</v>
      </c>
      <c r="O178" s="430"/>
      <c r="P178" s="418"/>
    </row>
    <row r="179" spans="1:16" s="419" customFormat="1" x14ac:dyDescent="0.3">
      <c r="A179" s="427"/>
      <c r="B179" s="428" t="s">
        <v>166</v>
      </c>
      <c r="C179" s="428"/>
      <c r="D179" s="428"/>
      <c r="E179" s="428"/>
      <c r="F179" s="428"/>
      <c r="G179" s="428"/>
      <c r="H179" s="428"/>
      <c r="I179" s="428"/>
      <c r="J179" s="428"/>
      <c r="K179" s="428"/>
      <c r="L179" s="428"/>
      <c r="M179" s="428"/>
      <c r="N179" s="489">
        <v>0</v>
      </c>
      <c r="O179" s="430"/>
      <c r="P179" s="418"/>
    </row>
    <row r="180" spans="1:16" s="419" customFormat="1" x14ac:dyDescent="0.3">
      <c r="A180" s="427"/>
      <c r="B180" s="428" t="s">
        <v>167</v>
      </c>
      <c r="C180" s="428"/>
      <c r="D180" s="428"/>
      <c r="E180" s="428"/>
      <c r="F180" s="428"/>
      <c r="G180" s="428"/>
      <c r="H180" s="428"/>
      <c r="I180" s="428"/>
      <c r="J180" s="428"/>
      <c r="K180" s="428"/>
      <c r="L180" s="428"/>
      <c r="M180" s="428"/>
      <c r="N180" s="506">
        <v>0</v>
      </c>
      <c r="O180" s="430"/>
      <c r="P180" s="418"/>
    </row>
    <row r="181" spans="1:16" s="419" customFormat="1" x14ac:dyDescent="0.3">
      <c r="A181" s="507"/>
      <c r="B181" s="508"/>
      <c r="C181" s="508"/>
      <c r="D181" s="508"/>
      <c r="E181" s="508"/>
      <c r="F181" s="508"/>
      <c r="G181" s="508"/>
      <c r="H181" s="508"/>
      <c r="I181" s="508"/>
      <c r="J181" s="508"/>
      <c r="K181" s="508"/>
      <c r="L181" s="508"/>
      <c r="M181" s="508"/>
      <c r="N181" s="508"/>
      <c r="O181" s="509"/>
      <c r="P181" s="418"/>
    </row>
    <row r="182" spans="1:16" s="419" customFormat="1" x14ac:dyDescent="0.3">
      <c r="A182" s="415"/>
      <c r="B182" s="458"/>
      <c r="C182" s="458"/>
      <c r="D182" s="458"/>
      <c r="E182" s="458"/>
      <c r="F182" s="458"/>
      <c r="G182" s="458"/>
      <c r="H182" s="458"/>
      <c r="I182" s="458"/>
      <c r="J182" s="458"/>
      <c r="K182" s="458"/>
      <c r="L182" s="458"/>
      <c r="M182" s="458"/>
      <c r="N182" s="458"/>
      <c r="O182" s="458"/>
      <c r="P182" s="418"/>
    </row>
    <row r="183" spans="1:16" s="419" customFormat="1" x14ac:dyDescent="0.3">
      <c r="A183" s="415"/>
      <c r="B183" s="416"/>
      <c r="C183" s="416"/>
      <c r="D183" s="416"/>
      <c r="E183" s="416"/>
      <c r="F183" s="416"/>
      <c r="G183" s="416"/>
      <c r="H183" s="416"/>
      <c r="I183" s="416"/>
      <c r="J183" s="416"/>
      <c r="K183" s="416"/>
      <c r="L183" s="416"/>
      <c r="M183" s="416"/>
      <c r="N183" s="416"/>
      <c r="O183" s="416"/>
      <c r="P183" s="418"/>
    </row>
    <row r="184" spans="1:16" s="419" customFormat="1" ht="18.600000000000001" thickBot="1" x14ac:dyDescent="0.4">
      <c r="A184" s="463"/>
      <c r="B184" s="464" t="str">
        <f>B116</f>
        <v>FF7 INVESTOR REPORT QUARTER ENDING MAY 2019</v>
      </c>
      <c r="C184" s="465"/>
      <c r="D184" s="465"/>
      <c r="E184" s="465"/>
      <c r="F184" s="465"/>
      <c r="G184" s="465"/>
      <c r="H184" s="465"/>
      <c r="I184" s="465"/>
      <c r="J184" s="465"/>
      <c r="K184" s="465"/>
      <c r="L184" s="465"/>
      <c r="M184" s="465"/>
      <c r="N184" s="465"/>
      <c r="O184" s="467"/>
      <c r="P184" s="418"/>
    </row>
    <row r="185" spans="1:16" x14ac:dyDescent="0.3">
      <c r="A185" s="603"/>
      <c r="B185" s="604" t="s">
        <v>66</v>
      </c>
      <c r="C185" s="607"/>
      <c r="D185" s="608"/>
      <c r="E185" s="608"/>
      <c r="F185" s="608"/>
      <c r="G185" s="608"/>
      <c r="H185" s="608"/>
      <c r="I185" s="608"/>
      <c r="J185" s="608"/>
      <c r="K185" s="608"/>
      <c r="L185" s="608">
        <v>43616</v>
      </c>
      <c r="M185" s="605"/>
      <c r="N185" s="605"/>
      <c r="O185" s="605"/>
      <c r="P185" s="402"/>
    </row>
    <row r="186" spans="1:16" x14ac:dyDescent="0.3">
      <c r="A186" s="510"/>
      <c r="B186" s="511"/>
      <c r="C186" s="512"/>
      <c r="D186" s="513"/>
      <c r="E186" s="513"/>
      <c r="F186" s="513"/>
      <c r="G186" s="513"/>
      <c r="H186" s="513"/>
      <c r="I186" s="513"/>
      <c r="J186" s="513"/>
      <c r="K186" s="513"/>
      <c r="L186" s="513"/>
      <c r="M186" s="478"/>
      <c r="N186" s="478"/>
      <c r="O186" s="478"/>
      <c r="P186" s="402"/>
    </row>
    <row r="187" spans="1:16" s="419" customFormat="1" x14ac:dyDescent="0.3">
      <c r="A187" s="427"/>
      <c r="B187" s="428" t="s">
        <v>67</v>
      </c>
      <c r="C187" s="514"/>
      <c r="D187" s="452"/>
      <c r="E187" s="452"/>
      <c r="F187" s="452"/>
      <c r="G187" s="452"/>
      <c r="H187" s="452"/>
      <c r="I187" s="452"/>
      <c r="J187" s="452"/>
      <c r="K187" s="452"/>
      <c r="L187" s="446">
        <v>7.2950000000000001E-2</v>
      </c>
      <c r="M187" s="428"/>
      <c r="N187" s="428"/>
      <c r="O187" s="430"/>
      <c r="P187" s="418"/>
    </row>
    <row r="188" spans="1:16" s="419" customFormat="1" x14ac:dyDescent="0.3">
      <c r="A188" s="427"/>
      <c r="B188" s="428" t="s">
        <v>213</v>
      </c>
      <c r="C188" s="514"/>
      <c r="D188" s="452"/>
      <c r="E188" s="452"/>
      <c r="F188" s="452"/>
      <c r="G188" s="452"/>
      <c r="H188" s="452"/>
      <c r="I188" s="452"/>
      <c r="J188" s="452"/>
      <c r="K188" s="452"/>
      <c r="L188" s="446">
        <v>5.79E-2</v>
      </c>
      <c r="M188" s="428"/>
      <c r="N188" s="428"/>
      <c r="O188" s="430"/>
      <c r="P188" s="418"/>
    </row>
    <row r="189" spans="1:16" s="419" customFormat="1" x14ac:dyDescent="0.3">
      <c r="A189" s="427"/>
      <c r="B189" s="428" t="s">
        <v>68</v>
      </c>
      <c r="C189" s="514"/>
      <c r="D189" s="452"/>
      <c r="E189" s="452"/>
      <c r="F189" s="452"/>
      <c r="G189" s="452"/>
      <c r="H189" s="452"/>
      <c r="I189" s="452"/>
      <c r="J189" s="452"/>
      <c r="K189" s="452"/>
      <c r="L189" s="446">
        <f>L187-L188</f>
        <v>1.5050000000000001E-2</v>
      </c>
      <c r="M189" s="428"/>
      <c r="N189" s="428"/>
      <c r="O189" s="430"/>
      <c r="P189" s="418"/>
    </row>
    <row r="190" spans="1:16" s="419" customFormat="1" x14ac:dyDescent="0.3">
      <c r="A190" s="427"/>
      <c r="B190" s="428" t="s">
        <v>69</v>
      </c>
      <c r="C190" s="514"/>
      <c r="D190" s="452"/>
      <c r="E190" s="452"/>
      <c r="F190" s="452"/>
      <c r="G190" s="452"/>
      <c r="H190" s="452"/>
      <c r="I190" s="452"/>
      <c r="J190" s="452"/>
      <c r="K190" s="452"/>
      <c r="L190" s="446">
        <v>0</v>
      </c>
      <c r="M190" s="428"/>
      <c r="N190" s="428"/>
      <c r="O190" s="430"/>
      <c r="P190" s="418"/>
    </row>
    <row r="191" spans="1:16" s="419" customFormat="1" x14ac:dyDescent="0.3">
      <c r="A191" s="427"/>
      <c r="B191" s="428" t="s">
        <v>212</v>
      </c>
      <c r="C191" s="514"/>
      <c r="D191" s="452"/>
      <c r="E191" s="452"/>
      <c r="F191" s="452"/>
      <c r="G191" s="452"/>
      <c r="H191" s="452"/>
      <c r="I191" s="452"/>
      <c r="J191" s="452"/>
      <c r="K191" s="452"/>
      <c r="L191" s="446">
        <v>0</v>
      </c>
      <c r="M191" s="428"/>
      <c r="N191" s="428"/>
      <c r="O191" s="430"/>
      <c r="P191" s="418"/>
    </row>
    <row r="192" spans="1:16" s="419" customFormat="1" x14ac:dyDescent="0.3">
      <c r="A192" s="427"/>
      <c r="B192" s="428" t="s">
        <v>70</v>
      </c>
      <c r="C192" s="514"/>
      <c r="D192" s="452"/>
      <c r="E192" s="452"/>
      <c r="F192" s="452"/>
      <c r="G192" s="452"/>
      <c r="H192" s="452"/>
      <c r="I192" s="452"/>
      <c r="J192" s="452"/>
      <c r="K192" s="452"/>
      <c r="L192" s="446">
        <f>L190-L191</f>
        <v>0</v>
      </c>
      <c r="M192" s="428"/>
      <c r="N192" s="428"/>
      <c r="O192" s="430"/>
      <c r="P192" s="418"/>
    </row>
    <row r="193" spans="1:16" s="419" customFormat="1" x14ac:dyDescent="0.3">
      <c r="A193" s="427"/>
      <c r="B193" s="428" t="s">
        <v>203</v>
      </c>
      <c r="C193" s="514"/>
      <c r="D193" s="452"/>
      <c r="E193" s="452"/>
      <c r="F193" s="452"/>
      <c r="G193" s="452"/>
      <c r="H193" s="452"/>
      <c r="I193" s="452"/>
      <c r="J193" s="452"/>
      <c r="K193" s="452"/>
      <c r="L193" s="446">
        <v>0</v>
      </c>
      <c r="M193" s="428"/>
      <c r="N193" s="428"/>
      <c r="O193" s="430"/>
      <c r="P193" s="418"/>
    </row>
    <row r="194" spans="1:16" s="419" customFormat="1" x14ac:dyDescent="0.3">
      <c r="A194" s="427"/>
      <c r="B194" s="428" t="s">
        <v>171</v>
      </c>
      <c r="C194" s="514"/>
      <c r="D194" s="452"/>
      <c r="E194" s="452"/>
      <c r="F194" s="452"/>
      <c r="G194" s="452"/>
      <c r="H194" s="452"/>
      <c r="I194" s="452"/>
      <c r="J194" s="452"/>
      <c r="K194" s="452"/>
      <c r="L194" s="515">
        <v>48823</v>
      </c>
      <c r="M194" s="428"/>
      <c r="N194" s="428"/>
      <c r="O194" s="430"/>
      <c r="P194" s="418"/>
    </row>
    <row r="195" spans="1:16" s="419" customFormat="1" x14ac:dyDescent="0.3">
      <c r="A195" s="427"/>
      <c r="B195" s="428" t="s">
        <v>172</v>
      </c>
      <c r="C195" s="514"/>
      <c r="D195" s="452"/>
      <c r="E195" s="452"/>
      <c r="F195" s="452"/>
      <c r="G195" s="452"/>
      <c r="H195" s="452"/>
      <c r="I195" s="452"/>
      <c r="J195" s="452"/>
      <c r="K195" s="452"/>
      <c r="L195" s="515">
        <v>48823</v>
      </c>
      <c r="M195" s="428"/>
      <c r="N195" s="428"/>
      <c r="O195" s="430"/>
      <c r="P195" s="418"/>
    </row>
    <row r="196" spans="1:16" s="419" customFormat="1" x14ac:dyDescent="0.3">
      <c r="A196" s="427"/>
      <c r="B196" s="428" t="s">
        <v>173</v>
      </c>
      <c r="C196" s="514"/>
      <c r="D196" s="452"/>
      <c r="E196" s="452"/>
      <c r="F196" s="452"/>
      <c r="G196" s="452"/>
      <c r="H196" s="452"/>
      <c r="I196" s="452"/>
      <c r="J196" s="452"/>
      <c r="K196" s="452"/>
      <c r="L196" s="515">
        <v>48823</v>
      </c>
      <c r="M196" s="428"/>
      <c r="N196" s="428"/>
      <c r="O196" s="430"/>
      <c r="P196" s="418"/>
    </row>
    <row r="197" spans="1:16" s="419" customFormat="1" x14ac:dyDescent="0.3">
      <c r="A197" s="427"/>
      <c r="B197" s="428" t="s">
        <v>71</v>
      </c>
      <c r="C197" s="514"/>
      <c r="D197" s="452"/>
      <c r="E197" s="452"/>
      <c r="F197" s="452"/>
      <c r="G197" s="452"/>
      <c r="H197" s="452"/>
      <c r="I197" s="452"/>
      <c r="J197" s="452"/>
      <c r="K197" s="452"/>
      <c r="L197" s="450">
        <v>9.93</v>
      </c>
      <c r="M197" s="428" t="s">
        <v>110</v>
      </c>
      <c r="N197" s="428"/>
      <c r="O197" s="430"/>
      <c r="P197" s="418"/>
    </row>
    <row r="198" spans="1:16" s="419" customFormat="1" x14ac:dyDescent="0.3">
      <c r="A198" s="427"/>
      <c r="B198" s="428" t="s">
        <v>72</v>
      </c>
      <c r="C198" s="514"/>
      <c r="D198" s="452"/>
      <c r="E198" s="452"/>
      <c r="F198" s="452"/>
      <c r="G198" s="452"/>
      <c r="H198" s="452"/>
      <c r="I198" s="452"/>
      <c r="J198" s="452"/>
      <c r="K198" s="452"/>
      <c r="L198" s="450">
        <v>0</v>
      </c>
      <c r="M198" s="428" t="s">
        <v>110</v>
      </c>
      <c r="N198" s="428"/>
      <c r="O198" s="430"/>
      <c r="P198" s="418"/>
    </row>
    <row r="199" spans="1:16" s="419" customFormat="1" x14ac:dyDescent="0.3">
      <c r="A199" s="427"/>
      <c r="B199" s="428" t="s">
        <v>73</v>
      </c>
      <c r="C199" s="514"/>
      <c r="D199" s="452"/>
      <c r="E199" s="452"/>
      <c r="F199" s="452"/>
      <c r="G199" s="452"/>
      <c r="H199" s="452"/>
      <c r="I199" s="452"/>
      <c r="J199" s="452"/>
      <c r="K199" s="452"/>
      <c r="L199" s="446">
        <f>+H56/F56</f>
        <v>1</v>
      </c>
      <c r="M199" s="428"/>
      <c r="N199" s="428"/>
      <c r="O199" s="430"/>
      <c r="P199" s="418"/>
    </row>
    <row r="200" spans="1:16" s="419" customFormat="1" x14ac:dyDescent="0.3">
      <c r="A200" s="427"/>
      <c r="B200" s="428" t="s">
        <v>74</v>
      </c>
      <c r="C200" s="514"/>
      <c r="D200" s="452"/>
      <c r="E200" s="452"/>
      <c r="F200" s="452"/>
      <c r="G200" s="452"/>
      <c r="H200" s="452"/>
      <c r="I200" s="452"/>
      <c r="J200" s="452"/>
      <c r="K200" s="452"/>
      <c r="L200" s="446">
        <v>1</v>
      </c>
      <c r="M200" s="428"/>
      <c r="N200" s="428"/>
      <c r="O200" s="430"/>
      <c r="P200" s="418"/>
    </row>
    <row r="201" spans="1:16" x14ac:dyDescent="0.3">
      <c r="A201" s="510"/>
      <c r="B201" s="476"/>
      <c r="C201" s="476"/>
      <c r="D201" s="476"/>
      <c r="E201" s="476"/>
      <c r="F201" s="476"/>
      <c r="G201" s="476"/>
      <c r="H201" s="476"/>
      <c r="I201" s="476"/>
      <c r="J201" s="476"/>
      <c r="K201" s="476"/>
      <c r="L201" s="516"/>
      <c r="M201" s="476"/>
      <c r="N201" s="517"/>
      <c r="O201" s="476"/>
      <c r="P201" s="402"/>
    </row>
    <row r="202" spans="1:16" x14ac:dyDescent="0.3">
      <c r="A202" s="609"/>
      <c r="B202" s="599" t="s">
        <v>75</v>
      </c>
      <c r="C202" s="601"/>
      <c r="D202" s="601"/>
      <c r="E202" s="601"/>
      <c r="F202" s="601"/>
      <c r="G202" s="601"/>
      <c r="H202" s="601"/>
      <c r="I202" s="601"/>
      <c r="J202" s="601"/>
      <c r="K202" s="601" t="s">
        <v>99</v>
      </c>
      <c r="L202" s="615" t="s">
        <v>106</v>
      </c>
      <c r="M202" s="591"/>
      <c r="N202" s="591"/>
      <c r="O202" s="594"/>
      <c r="P202" s="402"/>
    </row>
    <row r="203" spans="1:16" s="419" customFormat="1" x14ac:dyDescent="0.3">
      <c r="A203" s="610"/>
      <c r="B203" s="588" t="s">
        <v>76</v>
      </c>
      <c r="C203" s="597"/>
      <c r="D203" s="611"/>
      <c r="E203" s="611"/>
      <c r="F203" s="611"/>
      <c r="G203" s="611"/>
      <c r="H203" s="611"/>
      <c r="I203" s="611"/>
      <c r="J203" s="611"/>
      <c r="K203" s="611">
        <v>0</v>
      </c>
      <c r="L203" s="612">
        <v>0</v>
      </c>
      <c r="M203" s="588"/>
      <c r="N203" s="613"/>
      <c r="O203" s="614"/>
      <c r="P203" s="418"/>
    </row>
    <row r="204" spans="1:16" s="419" customFormat="1" x14ac:dyDescent="0.3">
      <c r="A204" s="518"/>
      <c r="B204" s="428" t="s">
        <v>136</v>
      </c>
      <c r="C204" s="469"/>
      <c r="D204" s="434"/>
      <c r="E204" s="434"/>
      <c r="F204" s="434"/>
      <c r="G204" s="434"/>
      <c r="H204" s="434"/>
      <c r="I204" s="434"/>
      <c r="J204" s="434"/>
      <c r="K204" s="522">
        <f>+J271</f>
        <v>0</v>
      </c>
      <c r="L204" s="519">
        <f>+L271</f>
        <v>0</v>
      </c>
      <c r="M204" s="428"/>
      <c r="N204" s="520"/>
      <c r="O204" s="521"/>
      <c r="P204" s="418"/>
    </row>
    <row r="205" spans="1:16" s="419" customFormat="1" x14ac:dyDescent="0.3">
      <c r="A205" s="518"/>
      <c r="B205" s="428" t="s">
        <v>77</v>
      </c>
      <c r="C205" s="469"/>
      <c r="D205" s="434"/>
      <c r="E205" s="434"/>
      <c r="F205" s="434"/>
      <c r="G205" s="434"/>
      <c r="H205" s="434"/>
      <c r="I205" s="434"/>
      <c r="J205" s="434"/>
      <c r="K205" s="522">
        <f>+J288</f>
        <v>0</v>
      </c>
      <c r="L205" s="519">
        <f>+L288</f>
        <v>0</v>
      </c>
      <c r="M205" s="428"/>
      <c r="N205" s="520"/>
      <c r="O205" s="521"/>
      <c r="P205" s="418"/>
    </row>
    <row r="206" spans="1:16" x14ac:dyDescent="0.3">
      <c r="A206" s="523"/>
      <c r="B206" s="562" t="s">
        <v>78</v>
      </c>
      <c r="C206" s="524"/>
      <c r="D206" s="443"/>
      <c r="E206" s="443"/>
      <c r="F206" s="443"/>
      <c r="G206" s="443"/>
      <c r="H206" s="443"/>
      <c r="I206" s="443"/>
      <c r="J206" s="443"/>
      <c r="K206" s="443"/>
      <c r="L206" s="519">
        <v>0</v>
      </c>
      <c r="M206" s="443"/>
      <c r="N206" s="525"/>
      <c r="O206" s="526"/>
      <c r="P206" s="402"/>
    </row>
    <row r="207" spans="1:16" x14ac:dyDescent="0.3">
      <c r="A207" s="523"/>
      <c r="B207" s="562" t="s">
        <v>79</v>
      </c>
      <c r="C207" s="524"/>
      <c r="D207" s="443"/>
      <c r="E207" s="443"/>
      <c r="F207" s="443"/>
      <c r="G207" s="443"/>
      <c r="H207" s="443"/>
      <c r="I207" s="443"/>
      <c r="J207" s="443"/>
      <c r="K207" s="443"/>
      <c r="L207" s="527" t="s">
        <v>107</v>
      </c>
      <c r="M207" s="443"/>
      <c r="N207" s="525"/>
      <c r="O207" s="526"/>
      <c r="P207" s="402"/>
    </row>
    <row r="208" spans="1:16" x14ac:dyDescent="0.3">
      <c r="A208" s="528"/>
      <c r="B208" s="562" t="s">
        <v>80</v>
      </c>
      <c r="C208" s="529"/>
      <c r="D208" s="443"/>
      <c r="E208" s="443"/>
      <c r="F208" s="443"/>
      <c r="G208" s="443"/>
      <c r="H208" s="443"/>
      <c r="I208" s="443"/>
      <c r="J208" s="443"/>
      <c r="K208" s="443"/>
      <c r="L208" s="530"/>
      <c r="M208" s="443"/>
      <c r="N208" s="525"/>
      <c r="O208" s="531"/>
      <c r="P208" s="402"/>
    </row>
    <row r="209" spans="1:17" s="419" customFormat="1" x14ac:dyDescent="0.3">
      <c r="A209" s="532"/>
      <c r="B209" s="428" t="s">
        <v>81</v>
      </c>
      <c r="C209" s="428"/>
      <c r="D209" s="428"/>
      <c r="E209" s="428"/>
      <c r="F209" s="428"/>
      <c r="G209" s="428"/>
      <c r="H209" s="428"/>
      <c r="I209" s="428"/>
      <c r="J209" s="428"/>
      <c r="K209" s="434"/>
      <c r="L209" s="519">
        <f>N146</f>
        <v>0</v>
      </c>
      <c r="M209" s="428"/>
      <c r="N209" s="520"/>
      <c r="O209" s="533"/>
      <c r="P209" s="418"/>
    </row>
    <row r="210" spans="1:17" s="419" customFormat="1" x14ac:dyDescent="0.3">
      <c r="A210" s="518"/>
      <c r="B210" s="428" t="s">
        <v>82</v>
      </c>
      <c r="C210" s="469"/>
      <c r="D210" s="428"/>
      <c r="E210" s="428"/>
      <c r="F210" s="428"/>
      <c r="G210" s="428"/>
      <c r="H210" s="428"/>
      <c r="I210" s="428"/>
      <c r="J210" s="428"/>
      <c r="K210" s="434"/>
      <c r="L210" s="519">
        <f>'Feb 19'!L208+L209</f>
        <v>216</v>
      </c>
      <c r="M210" s="428"/>
      <c r="N210" s="520"/>
      <c r="O210" s="533"/>
      <c r="P210" s="418"/>
    </row>
    <row r="211" spans="1:17" x14ac:dyDescent="0.3">
      <c r="A211" s="528"/>
      <c r="B211" s="562" t="s">
        <v>253</v>
      </c>
      <c r="C211" s="529"/>
      <c r="D211" s="443"/>
      <c r="E211" s="443"/>
      <c r="F211" s="443"/>
      <c r="G211" s="443"/>
      <c r="H211" s="443"/>
      <c r="I211" s="443"/>
      <c r="J211" s="443"/>
      <c r="K211" s="444"/>
      <c r="L211" s="530"/>
      <c r="M211" s="443"/>
      <c r="N211" s="525"/>
      <c r="O211" s="531"/>
      <c r="P211" s="402"/>
    </row>
    <row r="212" spans="1:17" s="419" customFormat="1" x14ac:dyDescent="0.3">
      <c r="A212" s="532"/>
      <c r="B212" s="428" t="s">
        <v>250</v>
      </c>
      <c r="C212" s="428"/>
      <c r="D212" s="428"/>
      <c r="E212" s="428"/>
      <c r="F212" s="428"/>
      <c r="G212" s="428"/>
      <c r="H212" s="428"/>
      <c r="I212" s="428"/>
      <c r="J212" s="428"/>
      <c r="K212" s="434">
        <v>0</v>
      </c>
      <c r="L212" s="519">
        <v>0</v>
      </c>
      <c r="M212" s="428"/>
      <c r="N212" s="520"/>
      <c r="O212" s="533"/>
      <c r="P212" s="418"/>
    </row>
    <row r="213" spans="1:17" s="419" customFormat="1" x14ac:dyDescent="0.3">
      <c r="A213" s="518"/>
      <c r="B213" s="428" t="s">
        <v>83</v>
      </c>
      <c r="C213" s="449"/>
      <c r="D213" s="428"/>
      <c r="E213" s="428"/>
      <c r="F213" s="428"/>
      <c r="G213" s="428"/>
      <c r="H213" s="428"/>
      <c r="I213" s="428"/>
      <c r="J213" s="428"/>
      <c r="K213" s="428"/>
      <c r="L213" s="527">
        <v>0</v>
      </c>
      <c r="M213" s="428"/>
      <c r="N213" s="520"/>
      <c r="O213" s="533"/>
      <c r="P213" s="418"/>
    </row>
    <row r="214" spans="1:17" s="419" customFormat="1" x14ac:dyDescent="0.3">
      <c r="A214" s="518"/>
      <c r="B214" s="428" t="s">
        <v>84</v>
      </c>
      <c r="C214" s="449"/>
      <c r="D214" s="428"/>
      <c r="E214" s="428"/>
      <c r="F214" s="428"/>
      <c r="G214" s="428"/>
      <c r="H214" s="428"/>
      <c r="I214" s="428"/>
      <c r="J214" s="428"/>
      <c r="K214" s="428"/>
      <c r="L214" s="624">
        <v>0</v>
      </c>
      <c r="M214" s="428"/>
      <c r="N214" s="520"/>
      <c r="O214" s="533"/>
      <c r="P214" s="418"/>
    </row>
    <row r="215" spans="1:17" x14ac:dyDescent="0.3">
      <c r="A215" s="523"/>
      <c r="B215" s="562" t="s">
        <v>177</v>
      </c>
      <c r="C215" s="534"/>
      <c r="D215" s="443"/>
      <c r="E215" s="443"/>
      <c r="F215" s="443"/>
      <c r="G215" s="443"/>
      <c r="H215" s="443"/>
      <c r="I215" s="443"/>
      <c r="J215" s="443"/>
      <c r="K215" s="443"/>
      <c r="L215" s="535"/>
      <c r="M215" s="443"/>
      <c r="N215" s="525"/>
      <c r="O215" s="531"/>
      <c r="P215" s="402"/>
    </row>
    <row r="216" spans="1:17" s="419" customFormat="1" x14ac:dyDescent="0.3">
      <c r="A216" s="518"/>
      <c r="B216" s="428" t="s">
        <v>250</v>
      </c>
      <c r="C216" s="449"/>
      <c r="D216" s="428"/>
      <c r="E216" s="428"/>
      <c r="F216" s="428"/>
      <c r="G216" s="428"/>
      <c r="H216" s="428"/>
      <c r="I216" s="428"/>
      <c r="J216" s="428"/>
      <c r="K216" s="434">
        <v>0</v>
      </c>
      <c r="L216" s="519">
        <v>0</v>
      </c>
      <c r="M216" s="428"/>
      <c r="N216" s="520"/>
      <c r="O216" s="533"/>
      <c r="P216" s="418"/>
    </row>
    <row r="217" spans="1:17" s="419" customFormat="1" x14ac:dyDescent="0.3">
      <c r="A217" s="518"/>
      <c r="B217" s="428" t="s">
        <v>178</v>
      </c>
      <c r="C217" s="449"/>
      <c r="D217" s="428"/>
      <c r="E217" s="428"/>
      <c r="F217" s="428"/>
      <c r="G217" s="428"/>
      <c r="H217" s="428"/>
      <c r="I217" s="428"/>
      <c r="J217" s="428"/>
      <c r="K217" s="428"/>
      <c r="L217" s="527">
        <v>0</v>
      </c>
      <c r="M217" s="428"/>
      <c r="N217" s="520"/>
      <c r="O217" s="533"/>
      <c r="P217" s="418"/>
    </row>
    <row r="218" spans="1:17" x14ac:dyDescent="0.3">
      <c r="A218" s="523"/>
      <c r="B218" s="529"/>
      <c r="C218" s="534"/>
      <c r="D218" s="443"/>
      <c r="E218" s="443"/>
      <c r="F218" s="443"/>
      <c r="G218" s="443"/>
      <c r="H218" s="443"/>
      <c r="I218" s="443"/>
      <c r="J218" s="443"/>
      <c r="K218" s="443"/>
      <c r="L218" s="535"/>
      <c r="M218" s="443"/>
      <c r="N218" s="525"/>
      <c r="O218" s="531"/>
      <c r="P218" s="402"/>
    </row>
    <row r="219" spans="1:17" x14ac:dyDescent="0.3">
      <c r="A219" s="523"/>
      <c r="B219" s="529"/>
      <c r="C219" s="534"/>
      <c r="D219" s="443"/>
      <c r="E219" s="443"/>
      <c r="F219" s="443"/>
      <c r="G219" s="443"/>
      <c r="H219" s="443"/>
      <c r="I219" s="443"/>
      <c r="J219" s="443"/>
      <c r="K219" s="443"/>
      <c r="L219" s="535"/>
      <c r="M219" s="443"/>
      <c r="N219" s="525"/>
      <c r="O219" s="531"/>
      <c r="P219" s="402"/>
    </row>
    <row r="220" spans="1:17" ht="18" x14ac:dyDescent="0.35">
      <c r="A220" s="523"/>
      <c r="B220" s="582" t="s">
        <v>294</v>
      </c>
      <c r="C220" s="534"/>
      <c r="D220" s="443"/>
      <c r="E220" s="583"/>
      <c r="F220" s="443"/>
      <c r="G220" s="443"/>
      <c r="H220" s="536"/>
      <c r="I220" s="443"/>
      <c r="J220" s="443"/>
      <c r="K220" s="584" t="s">
        <v>293</v>
      </c>
      <c r="L220" s="535"/>
      <c r="M220" s="443"/>
      <c r="N220" s="525"/>
      <c r="O220" s="531"/>
      <c r="P220" s="402"/>
    </row>
    <row r="221" spans="1:17" ht="18" x14ac:dyDescent="0.35">
      <c r="A221" s="537"/>
      <c r="B221" s="538"/>
      <c r="C221" s="539"/>
      <c r="D221" s="471"/>
      <c r="E221" s="471"/>
      <c r="F221" s="471"/>
      <c r="G221" s="471"/>
      <c r="H221" s="540"/>
      <c r="I221" s="471"/>
      <c r="J221" s="471"/>
      <c r="K221" s="471"/>
      <c r="L221" s="541"/>
      <c r="M221" s="471"/>
      <c r="N221" s="542"/>
      <c r="O221" s="543"/>
      <c r="P221" s="402"/>
    </row>
    <row r="222" spans="1:17" x14ac:dyDescent="0.3">
      <c r="A222" s="585"/>
      <c r="B222" s="599" t="s">
        <v>258</v>
      </c>
      <c r="C222" s="601"/>
      <c r="D222" s="601"/>
      <c r="E222" s="601"/>
      <c r="F222" s="601"/>
      <c r="G222" s="601"/>
      <c r="H222" s="601"/>
      <c r="I222" s="601"/>
      <c r="J222" s="619" t="s">
        <v>99</v>
      </c>
      <c r="K222" s="601" t="s">
        <v>100</v>
      </c>
      <c r="L222" s="615" t="s">
        <v>108</v>
      </c>
      <c r="M222" s="601" t="s">
        <v>100</v>
      </c>
      <c r="N222" s="591"/>
      <c r="O222" s="620"/>
      <c r="P222" s="402"/>
    </row>
    <row r="223" spans="1:17" s="419" customFormat="1" x14ac:dyDescent="0.3">
      <c r="A223" s="587"/>
      <c r="B223" s="597" t="s">
        <v>85</v>
      </c>
      <c r="C223" s="616"/>
      <c r="D223" s="616"/>
      <c r="E223" s="616"/>
      <c r="F223" s="616"/>
      <c r="G223" s="616"/>
      <c r="H223" s="616"/>
      <c r="I223" s="616"/>
      <c r="J223" s="597">
        <f t="shared" ref="J223:J235" si="1">+J240+J257+J274</f>
        <v>0</v>
      </c>
      <c r="K223" s="617">
        <v>0</v>
      </c>
      <c r="L223" s="598">
        <v>0</v>
      </c>
      <c r="M223" s="617">
        <v>0</v>
      </c>
      <c r="N223" s="613"/>
      <c r="O223" s="618"/>
      <c r="P223" s="418"/>
    </row>
    <row r="224" spans="1:17" s="419" customFormat="1" x14ac:dyDescent="0.3">
      <c r="A224" s="427"/>
      <c r="B224" s="469" t="s">
        <v>86</v>
      </c>
      <c r="C224" s="544"/>
      <c r="D224" s="544"/>
      <c r="E224" s="544"/>
      <c r="F224" s="544"/>
      <c r="G224" s="544"/>
      <c r="H224" s="544"/>
      <c r="I224" s="544"/>
      <c r="J224" s="469">
        <f t="shared" si="1"/>
        <v>0</v>
      </c>
      <c r="K224" s="545">
        <v>0</v>
      </c>
      <c r="L224" s="470">
        <v>0</v>
      </c>
      <c r="M224" s="545">
        <v>0</v>
      </c>
      <c r="N224" s="520"/>
      <c r="O224" s="533"/>
      <c r="P224" s="418"/>
      <c r="Q224" s="482"/>
    </row>
    <row r="225" spans="1:17" s="419" customFormat="1" x14ac:dyDescent="0.3">
      <c r="A225" s="427"/>
      <c r="B225" s="469" t="s">
        <v>87</v>
      </c>
      <c r="C225" s="544"/>
      <c r="D225" s="544"/>
      <c r="E225" s="544"/>
      <c r="F225" s="544"/>
      <c r="G225" s="544"/>
      <c r="H225" s="544"/>
      <c r="I225" s="544"/>
      <c r="J225" s="469">
        <f t="shared" si="1"/>
        <v>0</v>
      </c>
      <c r="K225" s="545">
        <v>0</v>
      </c>
      <c r="L225" s="470">
        <v>0</v>
      </c>
      <c r="M225" s="545">
        <v>0</v>
      </c>
      <c r="N225" s="520"/>
      <c r="O225" s="533"/>
      <c r="P225" s="418"/>
    </row>
    <row r="226" spans="1:17" s="419" customFormat="1" x14ac:dyDescent="0.3">
      <c r="A226" s="427"/>
      <c r="B226" s="469" t="s">
        <v>145</v>
      </c>
      <c r="C226" s="544"/>
      <c r="D226" s="544"/>
      <c r="E226" s="544"/>
      <c r="F226" s="544"/>
      <c r="G226" s="544"/>
      <c r="H226" s="544"/>
      <c r="I226" s="544"/>
      <c r="J226" s="469">
        <f t="shared" si="1"/>
        <v>0</v>
      </c>
      <c r="K226" s="545">
        <v>0</v>
      </c>
      <c r="L226" s="470">
        <v>0</v>
      </c>
      <c r="M226" s="545">
        <v>0</v>
      </c>
      <c r="N226" s="520"/>
      <c r="O226" s="533"/>
      <c r="P226" s="418"/>
      <c r="Q226" s="482"/>
    </row>
    <row r="227" spans="1:17" s="419" customFormat="1" x14ac:dyDescent="0.3">
      <c r="A227" s="427"/>
      <c r="B227" s="469" t="s">
        <v>146</v>
      </c>
      <c r="C227" s="544"/>
      <c r="D227" s="544"/>
      <c r="E227" s="544"/>
      <c r="F227" s="544"/>
      <c r="G227" s="544"/>
      <c r="H227" s="544"/>
      <c r="I227" s="544"/>
      <c r="J227" s="469">
        <f t="shared" si="1"/>
        <v>0</v>
      </c>
      <c r="K227" s="545">
        <v>0</v>
      </c>
      <c r="L227" s="470">
        <v>0</v>
      </c>
      <c r="M227" s="545">
        <v>0</v>
      </c>
      <c r="N227" s="520"/>
      <c r="O227" s="533"/>
      <c r="P227" s="418"/>
    </row>
    <row r="228" spans="1:17" s="419" customFormat="1" x14ac:dyDescent="0.3">
      <c r="A228" s="427"/>
      <c r="B228" s="469" t="s">
        <v>147</v>
      </c>
      <c r="C228" s="544"/>
      <c r="D228" s="544"/>
      <c r="E228" s="544"/>
      <c r="F228" s="544"/>
      <c r="G228" s="544"/>
      <c r="H228" s="544"/>
      <c r="I228" s="544"/>
      <c r="J228" s="469">
        <f t="shared" si="1"/>
        <v>0</v>
      </c>
      <c r="K228" s="545">
        <v>0</v>
      </c>
      <c r="L228" s="470">
        <v>0</v>
      </c>
      <c r="M228" s="545">
        <v>0</v>
      </c>
      <c r="N228" s="520"/>
      <c r="O228" s="533"/>
      <c r="P228" s="418"/>
      <c r="Q228" s="482"/>
    </row>
    <row r="229" spans="1:17" s="419" customFormat="1" x14ac:dyDescent="0.3">
      <c r="A229" s="427"/>
      <c r="B229" s="469" t="s">
        <v>227</v>
      </c>
      <c r="C229" s="544"/>
      <c r="D229" s="544"/>
      <c r="E229" s="544"/>
      <c r="F229" s="544"/>
      <c r="G229" s="544"/>
      <c r="H229" s="544"/>
      <c r="I229" s="544"/>
      <c r="J229" s="469">
        <f t="shared" si="1"/>
        <v>0</v>
      </c>
      <c r="K229" s="545">
        <v>0</v>
      </c>
      <c r="L229" s="470">
        <v>0</v>
      </c>
      <c r="M229" s="545">
        <v>0</v>
      </c>
      <c r="N229" s="520"/>
      <c r="O229" s="533"/>
      <c r="P229" s="418"/>
    </row>
    <row r="230" spans="1:17" s="419" customFormat="1" x14ac:dyDescent="0.3">
      <c r="A230" s="427"/>
      <c r="B230" s="469" t="s">
        <v>228</v>
      </c>
      <c r="C230" s="544"/>
      <c r="D230" s="544"/>
      <c r="E230" s="544"/>
      <c r="F230" s="544"/>
      <c r="G230" s="544"/>
      <c r="H230" s="544"/>
      <c r="I230" s="544"/>
      <c r="J230" s="469">
        <f t="shared" si="1"/>
        <v>0</v>
      </c>
      <c r="K230" s="545">
        <v>0</v>
      </c>
      <c r="L230" s="470">
        <v>0</v>
      </c>
      <c r="M230" s="545">
        <v>0</v>
      </c>
      <c r="N230" s="520"/>
      <c r="O230" s="533"/>
      <c r="P230" s="418"/>
      <c r="Q230" s="482"/>
    </row>
    <row r="231" spans="1:17" s="419" customFormat="1" x14ac:dyDescent="0.3">
      <c r="A231" s="427"/>
      <c r="B231" s="469" t="s">
        <v>229</v>
      </c>
      <c r="C231" s="544"/>
      <c r="D231" s="544"/>
      <c r="E231" s="544"/>
      <c r="F231" s="544"/>
      <c r="G231" s="544"/>
      <c r="H231" s="544"/>
      <c r="I231" s="544"/>
      <c r="J231" s="469">
        <f t="shared" si="1"/>
        <v>0</v>
      </c>
      <c r="K231" s="545">
        <v>0</v>
      </c>
      <c r="L231" s="470">
        <v>0</v>
      </c>
      <c r="M231" s="545">
        <v>0</v>
      </c>
      <c r="N231" s="520"/>
      <c r="O231" s="533"/>
      <c r="P231" s="418"/>
      <c r="Q231" s="482"/>
    </row>
    <row r="232" spans="1:17" s="419" customFormat="1" x14ac:dyDescent="0.3">
      <c r="A232" s="427"/>
      <c r="B232" s="469" t="s">
        <v>230</v>
      </c>
      <c r="C232" s="544"/>
      <c r="D232" s="544"/>
      <c r="E232" s="544"/>
      <c r="F232" s="544"/>
      <c r="G232" s="544"/>
      <c r="H232" s="544"/>
      <c r="I232" s="544"/>
      <c r="J232" s="469">
        <f t="shared" si="1"/>
        <v>0</v>
      </c>
      <c r="K232" s="545">
        <v>0</v>
      </c>
      <c r="L232" s="470">
        <v>0</v>
      </c>
      <c r="M232" s="545">
        <v>0</v>
      </c>
      <c r="N232" s="520"/>
      <c r="O232" s="533"/>
      <c r="P232" s="418"/>
      <c r="Q232" s="482"/>
    </row>
    <row r="233" spans="1:17" s="419" customFormat="1" x14ac:dyDescent="0.3">
      <c r="A233" s="427"/>
      <c r="B233" s="469" t="s">
        <v>231</v>
      </c>
      <c r="C233" s="544"/>
      <c r="D233" s="544"/>
      <c r="E233" s="544"/>
      <c r="F233" s="544"/>
      <c r="G233" s="544"/>
      <c r="H233" s="544"/>
      <c r="I233" s="544"/>
      <c r="J233" s="469">
        <f t="shared" si="1"/>
        <v>0</v>
      </c>
      <c r="K233" s="545">
        <v>0</v>
      </c>
      <c r="L233" s="470">
        <v>0</v>
      </c>
      <c r="M233" s="545">
        <v>0</v>
      </c>
      <c r="N233" s="520"/>
      <c r="O233" s="533"/>
      <c r="P233" s="418"/>
      <c r="Q233" s="482"/>
    </row>
    <row r="234" spans="1:17" s="419" customFormat="1" x14ac:dyDescent="0.3">
      <c r="A234" s="427"/>
      <c r="B234" s="469" t="s">
        <v>232</v>
      </c>
      <c r="C234" s="544"/>
      <c r="D234" s="544"/>
      <c r="E234" s="544"/>
      <c r="F234" s="544"/>
      <c r="G234" s="544"/>
      <c r="H234" s="544"/>
      <c r="I234" s="544"/>
      <c r="J234" s="469">
        <f t="shared" si="1"/>
        <v>0</v>
      </c>
      <c r="K234" s="545">
        <v>0</v>
      </c>
      <c r="L234" s="470">
        <v>0</v>
      </c>
      <c r="M234" s="545">
        <v>0</v>
      </c>
      <c r="N234" s="520"/>
      <c r="O234" s="533"/>
      <c r="P234" s="418"/>
      <c r="Q234" s="482"/>
    </row>
    <row r="235" spans="1:17" s="419" customFormat="1" x14ac:dyDescent="0.3">
      <c r="A235" s="427"/>
      <c r="B235" s="469" t="s">
        <v>233</v>
      </c>
      <c r="C235" s="544"/>
      <c r="D235" s="544"/>
      <c r="E235" s="544"/>
      <c r="F235" s="544"/>
      <c r="G235" s="544"/>
      <c r="H235" s="544"/>
      <c r="I235" s="544"/>
      <c r="J235" s="469">
        <f t="shared" si="1"/>
        <v>0</v>
      </c>
      <c r="K235" s="545">
        <v>0</v>
      </c>
      <c r="L235" s="470">
        <v>0</v>
      </c>
      <c r="M235" s="545">
        <v>0</v>
      </c>
      <c r="N235" s="520"/>
      <c r="O235" s="533"/>
      <c r="P235" s="418"/>
      <c r="Q235" s="482"/>
    </row>
    <row r="236" spans="1:17" s="419" customFormat="1" x14ac:dyDescent="0.3">
      <c r="A236" s="427"/>
      <c r="B236" s="469"/>
      <c r="C236" s="544"/>
      <c r="D236" s="544"/>
      <c r="E236" s="544"/>
      <c r="F236" s="544"/>
      <c r="G236" s="544"/>
      <c r="H236" s="544"/>
      <c r="I236" s="544"/>
      <c r="J236" s="469"/>
      <c r="K236" s="545"/>
      <c r="L236" s="470"/>
      <c r="M236" s="545"/>
      <c r="N236" s="520"/>
      <c r="O236" s="533"/>
      <c r="P236" s="418"/>
      <c r="Q236" s="482"/>
    </row>
    <row r="237" spans="1:17" s="419" customFormat="1" x14ac:dyDescent="0.3">
      <c r="A237" s="427"/>
      <c r="B237" s="428"/>
      <c r="C237" s="428"/>
      <c r="D237" s="546"/>
      <c r="E237" s="546"/>
      <c r="F237" s="546"/>
      <c r="G237" s="546"/>
      <c r="H237" s="546"/>
      <c r="I237" s="546"/>
      <c r="J237" s="469">
        <f>SUM(J223:J236)</f>
        <v>0</v>
      </c>
      <c r="K237" s="545">
        <f>SUM(K223:K236)</f>
        <v>0</v>
      </c>
      <c r="L237" s="470">
        <f>SUM(L223:L236)</f>
        <v>0</v>
      </c>
      <c r="M237" s="545">
        <f>SUM(M223:M236)</f>
        <v>0</v>
      </c>
      <c r="N237" s="428"/>
      <c r="O237" s="430"/>
      <c r="P237" s="418"/>
    </row>
    <row r="238" spans="1:17" x14ac:dyDescent="0.3">
      <c r="A238" s="537"/>
      <c r="B238" s="547"/>
      <c r="C238" s="539"/>
      <c r="D238" s="471"/>
      <c r="E238" s="471"/>
      <c r="F238" s="471"/>
      <c r="G238" s="471"/>
      <c r="H238" s="471"/>
      <c r="I238" s="471"/>
      <c r="J238" s="471"/>
      <c r="K238" s="471"/>
      <c r="L238" s="541"/>
      <c r="M238" s="471"/>
      <c r="N238" s="542"/>
      <c r="O238" s="543"/>
      <c r="P238" s="402"/>
    </row>
    <row r="239" spans="1:17" x14ac:dyDescent="0.3">
      <c r="A239" s="585"/>
      <c r="B239" s="599" t="s">
        <v>149</v>
      </c>
      <c r="C239" s="601"/>
      <c r="D239" s="601"/>
      <c r="E239" s="601"/>
      <c r="F239" s="601"/>
      <c r="G239" s="601"/>
      <c r="H239" s="601"/>
      <c r="I239" s="601"/>
      <c r="J239" s="619" t="s">
        <v>99</v>
      </c>
      <c r="K239" s="601" t="s">
        <v>100</v>
      </c>
      <c r="L239" s="615" t="s">
        <v>108</v>
      </c>
      <c r="M239" s="601" t="s">
        <v>100</v>
      </c>
      <c r="N239" s="591"/>
      <c r="O239" s="620"/>
      <c r="P239" s="402"/>
    </row>
    <row r="240" spans="1:17" s="419" customFormat="1" x14ac:dyDescent="0.3">
      <c r="A240" s="587"/>
      <c r="B240" s="597" t="s">
        <v>85</v>
      </c>
      <c r="C240" s="616"/>
      <c r="D240" s="616"/>
      <c r="E240" s="616"/>
      <c r="F240" s="616"/>
      <c r="G240" s="616"/>
      <c r="H240" s="616"/>
      <c r="I240" s="616"/>
      <c r="J240" s="597">
        <v>0</v>
      </c>
      <c r="K240" s="617">
        <v>0</v>
      </c>
      <c r="L240" s="598">
        <v>0</v>
      </c>
      <c r="M240" s="617">
        <v>0</v>
      </c>
      <c r="N240" s="613"/>
      <c r="O240" s="618"/>
      <c r="P240" s="418"/>
    </row>
    <row r="241" spans="1:17" s="419" customFormat="1" x14ac:dyDescent="0.3">
      <c r="A241" s="427"/>
      <c r="B241" s="469" t="s">
        <v>86</v>
      </c>
      <c r="C241" s="544"/>
      <c r="D241" s="544"/>
      <c r="E241" s="544"/>
      <c r="F241" s="544"/>
      <c r="G241" s="544"/>
      <c r="H241" s="544"/>
      <c r="I241" s="544"/>
      <c r="J241" s="469">
        <v>0</v>
      </c>
      <c r="K241" s="545">
        <v>0</v>
      </c>
      <c r="L241" s="470">
        <v>0</v>
      </c>
      <c r="M241" s="545">
        <v>0</v>
      </c>
      <c r="N241" s="520"/>
      <c r="O241" s="533"/>
      <c r="P241" s="418"/>
      <c r="Q241" s="482"/>
    </row>
    <row r="242" spans="1:17" s="419" customFormat="1" x14ac:dyDescent="0.3">
      <c r="A242" s="427"/>
      <c r="B242" s="469" t="s">
        <v>87</v>
      </c>
      <c r="C242" s="544"/>
      <c r="D242" s="544"/>
      <c r="E242" s="544"/>
      <c r="F242" s="544"/>
      <c r="G242" s="544"/>
      <c r="H242" s="544"/>
      <c r="I242" s="544"/>
      <c r="J242" s="469">
        <v>0</v>
      </c>
      <c r="K242" s="545">
        <v>0</v>
      </c>
      <c r="L242" s="470">
        <v>0</v>
      </c>
      <c r="M242" s="545">
        <v>0</v>
      </c>
      <c r="N242" s="520"/>
      <c r="O242" s="533"/>
      <c r="P242" s="418"/>
    </row>
    <row r="243" spans="1:17" s="419" customFormat="1" x14ac:dyDescent="0.3">
      <c r="A243" s="427"/>
      <c r="B243" s="469" t="s">
        <v>145</v>
      </c>
      <c r="C243" s="544"/>
      <c r="D243" s="544"/>
      <c r="E243" s="544"/>
      <c r="F243" s="544"/>
      <c r="G243" s="544"/>
      <c r="H243" s="544"/>
      <c r="I243" s="544"/>
      <c r="J243" s="469">
        <v>0</v>
      </c>
      <c r="K243" s="545">
        <v>0</v>
      </c>
      <c r="L243" s="470">
        <v>0</v>
      </c>
      <c r="M243" s="545">
        <v>0</v>
      </c>
      <c r="N243" s="520"/>
      <c r="O243" s="533"/>
      <c r="P243" s="418"/>
      <c r="Q243" s="482"/>
    </row>
    <row r="244" spans="1:17" s="419" customFormat="1" x14ac:dyDescent="0.3">
      <c r="A244" s="427"/>
      <c r="B244" s="469" t="s">
        <v>146</v>
      </c>
      <c r="C244" s="544"/>
      <c r="D244" s="544"/>
      <c r="E244" s="544"/>
      <c r="F244" s="544"/>
      <c r="G244" s="544"/>
      <c r="H244" s="544"/>
      <c r="I244" s="544"/>
      <c r="J244" s="469">
        <v>0</v>
      </c>
      <c r="K244" s="545">
        <v>0</v>
      </c>
      <c r="L244" s="470">
        <v>0</v>
      </c>
      <c r="M244" s="545">
        <v>0</v>
      </c>
      <c r="N244" s="520"/>
      <c r="O244" s="533"/>
      <c r="P244" s="418"/>
    </row>
    <row r="245" spans="1:17" s="419" customFormat="1" x14ac:dyDescent="0.3">
      <c r="A245" s="427"/>
      <c r="B245" s="469" t="s">
        <v>147</v>
      </c>
      <c r="C245" s="544"/>
      <c r="D245" s="544"/>
      <c r="E245" s="544"/>
      <c r="F245" s="544"/>
      <c r="G245" s="544"/>
      <c r="H245" s="544"/>
      <c r="I245" s="544"/>
      <c r="J245" s="469">
        <v>0</v>
      </c>
      <c r="K245" s="545">
        <v>0</v>
      </c>
      <c r="L245" s="470">
        <v>0</v>
      </c>
      <c r="M245" s="545">
        <v>0</v>
      </c>
      <c r="N245" s="520"/>
      <c r="O245" s="533"/>
      <c r="P245" s="418"/>
      <c r="Q245" s="482"/>
    </row>
    <row r="246" spans="1:17" s="419" customFormat="1" x14ac:dyDescent="0.3">
      <c r="A246" s="427"/>
      <c r="B246" s="469" t="s">
        <v>227</v>
      </c>
      <c r="C246" s="544"/>
      <c r="D246" s="544"/>
      <c r="E246" s="544"/>
      <c r="F246" s="544"/>
      <c r="G246" s="544"/>
      <c r="H246" s="544"/>
      <c r="I246" s="544"/>
      <c r="J246" s="469">
        <v>0</v>
      </c>
      <c r="K246" s="545">
        <v>0</v>
      </c>
      <c r="L246" s="470">
        <v>0</v>
      </c>
      <c r="M246" s="545">
        <v>0</v>
      </c>
      <c r="N246" s="520"/>
      <c r="O246" s="533"/>
      <c r="P246" s="418"/>
    </row>
    <row r="247" spans="1:17" s="419" customFormat="1" x14ac:dyDescent="0.3">
      <c r="A247" s="427"/>
      <c r="B247" s="469" t="s">
        <v>228</v>
      </c>
      <c r="C247" s="544"/>
      <c r="D247" s="544"/>
      <c r="E247" s="544"/>
      <c r="F247" s="544"/>
      <c r="G247" s="544"/>
      <c r="H247" s="544"/>
      <c r="I247" s="544"/>
      <c r="J247" s="469">
        <v>0</v>
      </c>
      <c r="K247" s="545">
        <v>0</v>
      </c>
      <c r="L247" s="470">
        <v>0</v>
      </c>
      <c r="M247" s="545">
        <v>0</v>
      </c>
      <c r="N247" s="520"/>
      <c r="O247" s="533"/>
      <c r="P247" s="418"/>
      <c r="Q247" s="482"/>
    </row>
    <row r="248" spans="1:17" s="419" customFormat="1" x14ac:dyDescent="0.3">
      <c r="A248" s="427"/>
      <c r="B248" s="469" t="s">
        <v>229</v>
      </c>
      <c r="C248" s="544"/>
      <c r="D248" s="544"/>
      <c r="E248" s="544"/>
      <c r="F248" s="544"/>
      <c r="G248" s="544"/>
      <c r="H248" s="544"/>
      <c r="I248" s="544"/>
      <c r="J248" s="469">
        <v>0</v>
      </c>
      <c r="K248" s="545">
        <v>0</v>
      </c>
      <c r="L248" s="470">
        <v>0</v>
      </c>
      <c r="M248" s="545">
        <v>0</v>
      </c>
      <c r="N248" s="520"/>
      <c r="O248" s="533"/>
      <c r="P248" s="418"/>
      <c r="Q248" s="482"/>
    </row>
    <row r="249" spans="1:17" s="419" customFormat="1" x14ac:dyDescent="0.3">
      <c r="A249" s="427"/>
      <c r="B249" s="469" t="s">
        <v>230</v>
      </c>
      <c r="C249" s="544"/>
      <c r="D249" s="544"/>
      <c r="E249" s="544"/>
      <c r="F249" s="544"/>
      <c r="G249" s="544"/>
      <c r="H249" s="544"/>
      <c r="I249" s="544"/>
      <c r="J249" s="469">
        <v>0</v>
      </c>
      <c r="K249" s="545">
        <v>0</v>
      </c>
      <c r="L249" s="470">
        <v>0</v>
      </c>
      <c r="M249" s="545">
        <v>0</v>
      </c>
      <c r="N249" s="520"/>
      <c r="O249" s="533"/>
      <c r="P249" s="418"/>
      <c r="Q249" s="482"/>
    </row>
    <row r="250" spans="1:17" s="419" customFormat="1" x14ac:dyDescent="0.3">
      <c r="A250" s="427"/>
      <c r="B250" s="469" t="s">
        <v>231</v>
      </c>
      <c r="C250" s="544"/>
      <c r="D250" s="544"/>
      <c r="E250" s="544"/>
      <c r="F250" s="544"/>
      <c r="G250" s="544"/>
      <c r="H250" s="544"/>
      <c r="I250" s="544"/>
      <c r="J250" s="469">
        <v>0</v>
      </c>
      <c r="K250" s="545">
        <v>0</v>
      </c>
      <c r="L250" s="470">
        <v>0</v>
      </c>
      <c r="M250" s="545">
        <v>0</v>
      </c>
      <c r="N250" s="520"/>
      <c r="O250" s="533"/>
      <c r="P250" s="418"/>
      <c r="Q250" s="482"/>
    </row>
    <row r="251" spans="1:17" s="419" customFormat="1" x14ac:dyDescent="0.3">
      <c r="A251" s="427"/>
      <c r="B251" s="469" t="s">
        <v>232</v>
      </c>
      <c r="C251" s="544"/>
      <c r="D251" s="544"/>
      <c r="E251" s="544"/>
      <c r="F251" s="544"/>
      <c r="G251" s="544"/>
      <c r="H251" s="544"/>
      <c r="I251" s="544"/>
      <c r="J251" s="469">
        <v>0</v>
      </c>
      <c r="K251" s="545">
        <v>0</v>
      </c>
      <c r="L251" s="470">
        <v>0</v>
      </c>
      <c r="M251" s="545">
        <v>0</v>
      </c>
      <c r="N251" s="548"/>
      <c r="O251" s="533"/>
      <c r="P251" s="418"/>
      <c r="Q251" s="482"/>
    </row>
    <row r="252" spans="1:17" s="419" customFormat="1" x14ac:dyDescent="0.3">
      <c r="A252" s="427"/>
      <c r="B252" s="469" t="s">
        <v>233</v>
      </c>
      <c r="C252" s="544"/>
      <c r="D252" s="544"/>
      <c r="E252" s="544"/>
      <c r="F252" s="544"/>
      <c r="G252" s="544"/>
      <c r="H252" s="544"/>
      <c r="I252" s="544"/>
      <c r="J252" s="469">
        <v>0</v>
      </c>
      <c r="K252" s="545">
        <v>0</v>
      </c>
      <c r="L252" s="470">
        <v>0</v>
      </c>
      <c r="M252" s="545">
        <v>0</v>
      </c>
      <c r="N252" s="548"/>
      <c r="O252" s="533"/>
      <c r="P252" s="418"/>
      <c r="Q252" s="482"/>
    </row>
    <row r="253" spans="1:17" s="419" customFormat="1" ht="18" customHeight="1" x14ac:dyDescent="0.3">
      <c r="A253" s="427"/>
      <c r="B253" s="469"/>
      <c r="C253" s="544"/>
      <c r="D253" s="544"/>
      <c r="E253" s="544"/>
      <c r="F253" s="544"/>
      <c r="G253" s="544"/>
      <c r="H253" s="544"/>
      <c r="I253" s="544"/>
      <c r="J253" s="469"/>
      <c r="K253" s="545"/>
      <c r="L253" s="470"/>
      <c r="M253" s="545"/>
      <c r="N253" s="520"/>
      <c r="O253" s="533"/>
      <c r="P253" s="418"/>
      <c r="Q253" s="482"/>
    </row>
    <row r="254" spans="1:17" s="419" customFormat="1" x14ac:dyDescent="0.3">
      <c r="A254" s="427"/>
      <c r="B254" s="428"/>
      <c r="C254" s="428"/>
      <c r="D254" s="546"/>
      <c r="E254" s="546"/>
      <c r="F254" s="546"/>
      <c r="G254" s="546"/>
      <c r="H254" s="546"/>
      <c r="I254" s="546"/>
      <c r="J254" s="469">
        <f>SUM(J240:J253)</f>
        <v>0</v>
      </c>
      <c r="K254" s="545">
        <f>SUM(K240:K253)</f>
        <v>0</v>
      </c>
      <c r="L254" s="470">
        <f>SUM(L240:L253)</f>
        <v>0</v>
      </c>
      <c r="M254" s="545">
        <f>SUM(M240:M253)</f>
        <v>0</v>
      </c>
      <c r="N254" s="428"/>
      <c r="O254" s="430"/>
      <c r="P254" s="418"/>
    </row>
    <row r="255" spans="1:17" x14ac:dyDescent="0.3">
      <c r="A255" s="404"/>
      <c r="B255" s="476"/>
      <c r="C255" s="476"/>
      <c r="D255" s="549"/>
      <c r="E255" s="549"/>
      <c r="F255" s="549"/>
      <c r="G255" s="549"/>
      <c r="H255" s="549"/>
      <c r="I255" s="549"/>
      <c r="J255" s="477"/>
      <c r="K255" s="550"/>
      <c r="L255" s="498"/>
      <c r="M255" s="550"/>
      <c r="N255" s="476"/>
      <c r="O255" s="476"/>
      <c r="P255" s="402"/>
    </row>
    <row r="256" spans="1:17" x14ac:dyDescent="0.3">
      <c r="A256" s="585"/>
      <c r="B256" s="599" t="s">
        <v>204</v>
      </c>
      <c r="C256" s="601"/>
      <c r="D256" s="601"/>
      <c r="E256" s="601"/>
      <c r="F256" s="601"/>
      <c r="G256" s="601"/>
      <c r="H256" s="601"/>
      <c r="I256" s="601"/>
      <c r="J256" s="619" t="s">
        <v>99</v>
      </c>
      <c r="K256" s="601" t="s">
        <v>100</v>
      </c>
      <c r="L256" s="615" t="s">
        <v>108</v>
      </c>
      <c r="M256" s="601" t="s">
        <v>100</v>
      </c>
      <c r="N256" s="591"/>
      <c r="O256" s="594"/>
      <c r="P256" s="402"/>
    </row>
    <row r="257" spans="1:16" s="419" customFormat="1" x14ac:dyDescent="0.3">
      <c r="A257" s="587"/>
      <c r="B257" s="597" t="s">
        <v>85</v>
      </c>
      <c r="C257" s="616"/>
      <c r="D257" s="616"/>
      <c r="E257" s="616"/>
      <c r="F257" s="616"/>
      <c r="G257" s="616"/>
      <c r="H257" s="616"/>
      <c r="I257" s="616"/>
      <c r="J257" s="597">
        <v>0</v>
      </c>
      <c r="K257" s="617">
        <v>0</v>
      </c>
      <c r="L257" s="598">
        <v>0</v>
      </c>
      <c r="M257" s="617">
        <v>0</v>
      </c>
      <c r="N257" s="588"/>
      <c r="O257" s="590"/>
      <c r="P257" s="418"/>
    </row>
    <row r="258" spans="1:16" s="419" customFormat="1" x14ac:dyDescent="0.3">
      <c r="A258" s="427"/>
      <c r="B258" s="469" t="s">
        <v>86</v>
      </c>
      <c r="C258" s="544"/>
      <c r="D258" s="544"/>
      <c r="E258" s="544"/>
      <c r="F258" s="544"/>
      <c r="G258" s="544"/>
      <c r="H258" s="544"/>
      <c r="I258" s="544"/>
      <c r="J258" s="469">
        <v>0</v>
      </c>
      <c r="K258" s="545">
        <v>0</v>
      </c>
      <c r="L258" s="470">
        <v>0</v>
      </c>
      <c r="M258" s="545">
        <v>0</v>
      </c>
      <c r="N258" s="428"/>
      <c r="O258" s="430"/>
      <c r="P258" s="418"/>
    </row>
    <row r="259" spans="1:16" s="419" customFormat="1" x14ac:dyDescent="0.3">
      <c r="A259" s="427"/>
      <c r="B259" s="469" t="s">
        <v>87</v>
      </c>
      <c r="C259" s="544"/>
      <c r="D259" s="544"/>
      <c r="E259" s="544"/>
      <c r="F259" s="544"/>
      <c r="G259" s="544"/>
      <c r="H259" s="544"/>
      <c r="I259" s="544"/>
      <c r="J259" s="469">
        <v>0</v>
      </c>
      <c r="K259" s="545">
        <v>0</v>
      </c>
      <c r="L259" s="470">
        <v>0</v>
      </c>
      <c r="M259" s="545">
        <v>0</v>
      </c>
      <c r="N259" s="428"/>
      <c r="O259" s="430"/>
      <c r="P259" s="418"/>
    </row>
    <row r="260" spans="1:16" s="419" customFormat="1" x14ac:dyDescent="0.3">
      <c r="A260" s="427"/>
      <c r="B260" s="469" t="s">
        <v>145</v>
      </c>
      <c r="C260" s="544"/>
      <c r="D260" s="544"/>
      <c r="E260" s="544"/>
      <c r="F260" s="544"/>
      <c r="G260" s="544"/>
      <c r="H260" s="544"/>
      <c r="I260" s="544"/>
      <c r="J260" s="469">
        <v>0</v>
      </c>
      <c r="K260" s="545">
        <v>0</v>
      </c>
      <c r="L260" s="470">
        <v>0</v>
      </c>
      <c r="M260" s="545">
        <v>0</v>
      </c>
      <c r="N260" s="428"/>
      <c r="O260" s="430"/>
      <c r="P260" s="418"/>
    </row>
    <row r="261" spans="1:16" s="419" customFormat="1" x14ac:dyDescent="0.3">
      <c r="A261" s="427"/>
      <c r="B261" s="469" t="s">
        <v>146</v>
      </c>
      <c r="C261" s="544"/>
      <c r="D261" s="544"/>
      <c r="E261" s="544"/>
      <c r="F261" s="544"/>
      <c r="G261" s="544"/>
      <c r="H261" s="544"/>
      <c r="I261" s="544"/>
      <c r="J261" s="469">
        <v>0</v>
      </c>
      <c r="K261" s="545">
        <v>0</v>
      </c>
      <c r="L261" s="470">
        <v>0</v>
      </c>
      <c r="M261" s="545">
        <v>0</v>
      </c>
      <c r="N261" s="428"/>
      <c r="O261" s="430"/>
      <c r="P261" s="418"/>
    </row>
    <row r="262" spans="1:16" s="419" customFormat="1" x14ac:dyDescent="0.3">
      <c r="A262" s="427"/>
      <c r="B262" s="469" t="s">
        <v>147</v>
      </c>
      <c r="C262" s="544"/>
      <c r="D262" s="544"/>
      <c r="E262" s="544"/>
      <c r="F262" s="544"/>
      <c r="G262" s="544"/>
      <c r="H262" s="544"/>
      <c r="I262" s="544"/>
      <c r="J262" s="469">
        <v>0</v>
      </c>
      <c r="K262" s="545">
        <v>0</v>
      </c>
      <c r="L262" s="470">
        <v>0</v>
      </c>
      <c r="M262" s="545">
        <v>0</v>
      </c>
      <c r="N262" s="428"/>
      <c r="O262" s="430"/>
      <c r="P262" s="418"/>
    </row>
    <row r="263" spans="1:16" s="419" customFormat="1" x14ac:dyDescent="0.3">
      <c r="A263" s="427"/>
      <c r="B263" s="469" t="s">
        <v>227</v>
      </c>
      <c r="C263" s="544"/>
      <c r="D263" s="544"/>
      <c r="E263" s="544"/>
      <c r="F263" s="544"/>
      <c r="G263" s="544"/>
      <c r="H263" s="544"/>
      <c r="I263" s="544"/>
      <c r="J263" s="469">
        <v>0</v>
      </c>
      <c r="K263" s="545">
        <v>0</v>
      </c>
      <c r="L263" s="470">
        <v>0</v>
      </c>
      <c r="M263" s="545">
        <v>0</v>
      </c>
      <c r="N263" s="428"/>
      <c r="O263" s="430"/>
      <c r="P263" s="418"/>
    </row>
    <row r="264" spans="1:16" s="419" customFormat="1" x14ac:dyDescent="0.3">
      <c r="A264" s="427"/>
      <c r="B264" s="469" t="s">
        <v>228</v>
      </c>
      <c r="C264" s="544"/>
      <c r="D264" s="544"/>
      <c r="E264" s="544"/>
      <c r="F264" s="544"/>
      <c r="G264" s="544"/>
      <c r="H264" s="544"/>
      <c r="I264" s="544"/>
      <c r="J264" s="469">
        <v>0</v>
      </c>
      <c r="K264" s="545">
        <v>0</v>
      </c>
      <c r="L264" s="470">
        <v>0</v>
      </c>
      <c r="M264" s="545">
        <v>0</v>
      </c>
      <c r="N264" s="428"/>
      <c r="O264" s="430"/>
      <c r="P264" s="418"/>
    </row>
    <row r="265" spans="1:16" s="419" customFormat="1" x14ac:dyDescent="0.3">
      <c r="A265" s="427"/>
      <c r="B265" s="469" t="s">
        <v>229</v>
      </c>
      <c r="C265" s="544"/>
      <c r="D265" s="544"/>
      <c r="E265" s="544"/>
      <c r="F265" s="544"/>
      <c r="G265" s="544"/>
      <c r="H265" s="544"/>
      <c r="I265" s="544"/>
      <c r="J265" s="469">
        <v>0</v>
      </c>
      <c r="K265" s="545">
        <v>0</v>
      </c>
      <c r="L265" s="470">
        <v>0</v>
      </c>
      <c r="M265" s="545">
        <v>0</v>
      </c>
      <c r="N265" s="428"/>
      <c r="O265" s="430"/>
      <c r="P265" s="418"/>
    </row>
    <row r="266" spans="1:16" s="419" customFormat="1" x14ac:dyDescent="0.3">
      <c r="A266" s="427"/>
      <c r="B266" s="469" t="s">
        <v>230</v>
      </c>
      <c r="C266" s="544"/>
      <c r="D266" s="544"/>
      <c r="E266" s="544"/>
      <c r="F266" s="544"/>
      <c r="G266" s="544"/>
      <c r="H266" s="544"/>
      <c r="I266" s="544"/>
      <c r="J266" s="469">
        <v>0</v>
      </c>
      <c r="K266" s="545">
        <v>0</v>
      </c>
      <c r="L266" s="470">
        <v>0</v>
      </c>
      <c r="M266" s="545">
        <v>0</v>
      </c>
      <c r="N266" s="428"/>
      <c r="O266" s="430"/>
      <c r="P266" s="418"/>
    </row>
    <row r="267" spans="1:16" s="419" customFormat="1" x14ac:dyDescent="0.3">
      <c r="A267" s="427"/>
      <c r="B267" s="469" t="s">
        <v>231</v>
      </c>
      <c r="C267" s="544"/>
      <c r="D267" s="544"/>
      <c r="E267" s="544"/>
      <c r="F267" s="544"/>
      <c r="G267" s="544"/>
      <c r="H267" s="544"/>
      <c r="I267" s="544"/>
      <c r="J267" s="469">
        <v>0</v>
      </c>
      <c r="K267" s="545">
        <v>0</v>
      </c>
      <c r="L267" s="470">
        <v>0</v>
      </c>
      <c r="M267" s="545">
        <v>0</v>
      </c>
      <c r="N267" s="428"/>
      <c r="O267" s="430"/>
      <c r="P267" s="418"/>
    </row>
    <row r="268" spans="1:16" s="419" customFormat="1" x14ac:dyDescent="0.3">
      <c r="A268" s="427"/>
      <c r="B268" s="469" t="s">
        <v>232</v>
      </c>
      <c r="C268" s="544"/>
      <c r="D268" s="544"/>
      <c r="E268" s="544"/>
      <c r="F268" s="544"/>
      <c r="G268" s="544"/>
      <c r="H268" s="544"/>
      <c r="I268" s="544"/>
      <c r="J268" s="469">
        <v>0</v>
      </c>
      <c r="K268" s="545">
        <v>0</v>
      </c>
      <c r="L268" s="470">
        <v>0</v>
      </c>
      <c r="M268" s="545">
        <v>0</v>
      </c>
      <c r="N268" s="428"/>
      <c r="O268" s="430"/>
      <c r="P268" s="418"/>
    </row>
    <row r="269" spans="1:16" s="419" customFormat="1" x14ac:dyDescent="0.3">
      <c r="A269" s="427"/>
      <c r="B269" s="469" t="s">
        <v>233</v>
      </c>
      <c r="C269" s="544"/>
      <c r="D269" s="544"/>
      <c r="E269" s="544"/>
      <c r="F269" s="544"/>
      <c r="G269" s="544"/>
      <c r="H269" s="544"/>
      <c r="I269" s="544"/>
      <c r="J269" s="469">
        <v>0</v>
      </c>
      <c r="K269" s="545">
        <v>0</v>
      </c>
      <c r="L269" s="470">
        <v>0</v>
      </c>
      <c r="M269" s="545">
        <v>0</v>
      </c>
      <c r="N269" s="428"/>
      <c r="O269" s="430"/>
      <c r="P269" s="418"/>
    </row>
    <row r="270" spans="1:16" s="419" customFormat="1" x14ac:dyDescent="0.3">
      <c r="A270" s="427"/>
      <c r="B270" s="469"/>
      <c r="C270" s="544"/>
      <c r="D270" s="544"/>
      <c r="E270" s="544"/>
      <c r="F270" s="544"/>
      <c r="G270" s="544"/>
      <c r="H270" s="544"/>
      <c r="I270" s="544"/>
      <c r="J270" s="469"/>
      <c r="K270" s="545"/>
      <c r="L270" s="470"/>
      <c r="M270" s="545"/>
      <c r="N270" s="428"/>
      <c r="O270" s="430"/>
      <c r="P270" s="418"/>
    </row>
    <row r="271" spans="1:16" s="419" customFormat="1" x14ac:dyDescent="0.3">
      <c r="A271" s="427"/>
      <c r="B271" s="428"/>
      <c r="C271" s="428"/>
      <c r="D271" s="546"/>
      <c r="E271" s="546"/>
      <c r="F271" s="546"/>
      <c r="G271" s="546"/>
      <c r="H271" s="546"/>
      <c r="I271" s="546"/>
      <c r="J271" s="469">
        <f>SUM(J257:J270)</f>
        <v>0</v>
      </c>
      <c r="K271" s="545">
        <f>SUM(K257:K270)</f>
        <v>0</v>
      </c>
      <c r="L271" s="470">
        <f>SUM(L257:L270)</f>
        <v>0</v>
      </c>
      <c r="M271" s="545">
        <f>SUM(M257:M270)</f>
        <v>0</v>
      </c>
      <c r="N271" s="428"/>
      <c r="O271" s="430"/>
      <c r="P271" s="418"/>
    </row>
    <row r="272" spans="1:16" x14ac:dyDescent="0.3">
      <c r="A272" s="404"/>
      <c r="B272" s="476"/>
      <c r="C272" s="476"/>
      <c r="D272" s="549"/>
      <c r="E272" s="549"/>
      <c r="F272" s="549"/>
      <c r="G272" s="549"/>
      <c r="H272" s="549"/>
      <c r="I272" s="549"/>
      <c r="J272" s="477"/>
      <c r="K272" s="550"/>
      <c r="L272" s="498"/>
      <c r="M272" s="550"/>
      <c r="N272" s="476"/>
      <c r="O272" s="476"/>
      <c r="P272" s="402"/>
    </row>
    <row r="273" spans="1:16" x14ac:dyDescent="0.3">
      <c r="A273" s="585"/>
      <c r="B273" s="599" t="s">
        <v>150</v>
      </c>
      <c r="C273" s="591"/>
      <c r="D273" s="621"/>
      <c r="E273" s="621"/>
      <c r="F273" s="621"/>
      <c r="G273" s="621"/>
      <c r="H273" s="621"/>
      <c r="I273" s="621"/>
      <c r="J273" s="619" t="s">
        <v>99</v>
      </c>
      <c r="K273" s="601" t="s">
        <v>100</v>
      </c>
      <c r="L273" s="615" t="s">
        <v>108</v>
      </c>
      <c r="M273" s="601" t="s">
        <v>100</v>
      </c>
      <c r="N273" s="591"/>
      <c r="O273" s="594"/>
      <c r="P273" s="402"/>
    </row>
    <row r="274" spans="1:16" s="419" customFormat="1" x14ac:dyDescent="0.3">
      <c r="A274" s="587"/>
      <c r="B274" s="597" t="s">
        <v>85</v>
      </c>
      <c r="C274" s="588"/>
      <c r="D274" s="622"/>
      <c r="E274" s="622"/>
      <c r="F274" s="622"/>
      <c r="G274" s="622"/>
      <c r="H274" s="622"/>
      <c r="I274" s="622"/>
      <c r="J274" s="597">
        <v>0</v>
      </c>
      <c r="K274" s="617">
        <v>0</v>
      </c>
      <c r="L274" s="598">
        <v>0</v>
      </c>
      <c r="M274" s="617">
        <v>0</v>
      </c>
      <c r="N274" s="588"/>
      <c r="O274" s="590"/>
      <c r="P274" s="418"/>
    </row>
    <row r="275" spans="1:16" s="419" customFormat="1" x14ac:dyDescent="0.3">
      <c r="A275" s="427"/>
      <c r="B275" s="469" t="s">
        <v>86</v>
      </c>
      <c r="C275" s="428"/>
      <c r="D275" s="546"/>
      <c r="E275" s="546"/>
      <c r="F275" s="546"/>
      <c r="G275" s="546"/>
      <c r="H275" s="546"/>
      <c r="I275" s="546"/>
      <c r="J275" s="469">
        <v>0</v>
      </c>
      <c r="K275" s="545">
        <v>0</v>
      </c>
      <c r="L275" s="470">
        <v>0</v>
      </c>
      <c r="M275" s="545">
        <v>0</v>
      </c>
      <c r="N275" s="428"/>
      <c r="O275" s="430"/>
      <c r="P275" s="418"/>
    </row>
    <row r="276" spans="1:16" s="419" customFormat="1" x14ac:dyDescent="0.3">
      <c r="A276" s="427"/>
      <c r="B276" s="469" t="s">
        <v>87</v>
      </c>
      <c r="C276" s="428"/>
      <c r="D276" s="546"/>
      <c r="E276" s="546"/>
      <c r="F276" s="546"/>
      <c r="G276" s="546"/>
      <c r="H276" s="546"/>
      <c r="I276" s="546"/>
      <c r="J276" s="469">
        <v>0</v>
      </c>
      <c r="K276" s="545">
        <v>0</v>
      </c>
      <c r="L276" s="470">
        <v>0</v>
      </c>
      <c r="M276" s="545">
        <v>0</v>
      </c>
      <c r="N276" s="428"/>
      <c r="O276" s="430"/>
      <c r="P276" s="418"/>
    </row>
    <row r="277" spans="1:16" s="419" customFormat="1" x14ac:dyDescent="0.3">
      <c r="A277" s="427"/>
      <c r="B277" s="469" t="s">
        <v>145</v>
      </c>
      <c r="C277" s="428"/>
      <c r="D277" s="546"/>
      <c r="E277" s="546"/>
      <c r="F277" s="546"/>
      <c r="G277" s="546"/>
      <c r="H277" s="546"/>
      <c r="I277" s="546"/>
      <c r="J277" s="469">
        <v>0</v>
      </c>
      <c r="K277" s="545">
        <v>0</v>
      </c>
      <c r="L277" s="470">
        <v>0</v>
      </c>
      <c r="M277" s="545">
        <v>0</v>
      </c>
      <c r="N277" s="428"/>
      <c r="O277" s="430"/>
      <c r="P277" s="418"/>
    </row>
    <row r="278" spans="1:16" s="419" customFormat="1" x14ac:dyDescent="0.3">
      <c r="A278" s="427"/>
      <c r="B278" s="469" t="s">
        <v>146</v>
      </c>
      <c r="C278" s="428"/>
      <c r="D278" s="546"/>
      <c r="E278" s="546"/>
      <c r="F278" s="546"/>
      <c r="G278" s="546"/>
      <c r="H278" s="546"/>
      <c r="I278" s="546"/>
      <c r="J278" s="469">
        <v>0</v>
      </c>
      <c r="K278" s="545">
        <v>0</v>
      </c>
      <c r="L278" s="470">
        <v>0</v>
      </c>
      <c r="M278" s="545">
        <v>0</v>
      </c>
      <c r="N278" s="428"/>
      <c r="O278" s="430"/>
      <c r="P278" s="418"/>
    </row>
    <row r="279" spans="1:16" s="419" customFormat="1" x14ac:dyDescent="0.3">
      <c r="A279" s="427"/>
      <c r="B279" s="469" t="s">
        <v>147</v>
      </c>
      <c r="C279" s="428"/>
      <c r="D279" s="546"/>
      <c r="E279" s="546"/>
      <c r="F279" s="546"/>
      <c r="G279" s="546"/>
      <c r="H279" s="546"/>
      <c r="I279" s="546"/>
      <c r="J279" s="469">
        <v>0</v>
      </c>
      <c r="K279" s="545">
        <v>0</v>
      </c>
      <c r="L279" s="470">
        <v>0</v>
      </c>
      <c r="M279" s="545">
        <v>0</v>
      </c>
      <c r="N279" s="428"/>
      <c r="O279" s="430"/>
      <c r="P279" s="418"/>
    </row>
    <row r="280" spans="1:16" s="419" customFormat="1" x14ac:dyDescent="0.3">
      <c r="A280" s="427"/>
      <c r="B280" s="469" t="s">
        <v>227</v>
      </c>
      <c r="C280" s="428"/>
      <c r="D280" s="546"/>
      <c r="E280" s="546"/>
      <c r="F280" s="546"/>
      <c r="G280" s="546"/>
      <c r="H280" s="546"/>
      <c r="I280" s="546"/>
      <c r="J280" s="469">
        <v>0</v>
      </c>
      <c r="K280" s="545">
        <v>0</v>
      </c>
      <c r="L280" s="470">
        <v>0</v>
      </c>
      <c r="M280" s="545">
        <v>0</v>
      </c>
      <c r="N280" s="428"/>
      <c r="O280" s="430"/>
      <c r="P280" s="418"/>
    </row>
    <row r="281" spans="1:16" s="419" customFormat="1" x14ac:dyDescent="0.3">
      <c r="A281" s="427"/>
      <c r="B281" s="469" t="s">
        <v>228</v>
      </c>
      <c r="C281" s="428"/>
      <c r="D281" s="546"/>
      <c r="E281" s="546"/>
      <c r="F281" s="546"/>
      <c r="G281" s="546"/>
      <c r="H281" s="546"/>
      <c r="I281" s="546"/>
      <c r="J281" s="469">
        <v>0</v>
      </c>
      <c r="K281" s="545">
        <v>0</v>
      </c>
      <c r="L281" s="470">
        <v>0</v>
      </c>
      <c r="M281" s="545">
        <v>0</v>
      </c>
      <c r="N281" s="428"/>
      <c r="O281" s="430"/>
      <c r="P281" s="418"/>
    </row>
    <row r="282" spans="1:16" s="419" customFormat="1" x14ac:dyDescent="0.3">
      <c r="A282" s="427"/>
      <c r="B282" s="469" t="s">
        <v>229</v>
      </c>
      <c r="C282" s="428"/>
      <c r="D282" s="546"/>
      <c r="E282" s="546"/>
      <c r="F282" s="546"/>
      <c r="G282" s="546"/>
      <c r="H282" s="546"/>
      <c r="I282" s="546"/>
      <c r="J282" s="469">
        <v>0</v>
      </c>
      <c r="K282" s="545">
        <v>0</v>
      </c>
      <c r="L282" s="470">
        <v>0</v>
      </c>
      <c r="M282" s="545">
        <v>0</v>
      </c>
      <c r="N282" s="428"/>
      <c r="O282" s="430"/>
      <c r="P282" s="418"/>
    </row>
    <row r="283" spans="1:16" s="419" customFormat="1" x14ac:dyDescent="0.3">
      <c r="A283" s="427"/>
      <c r="B283" s="469" t="s">
        <v>230</v>
      </c>
      <c r="C283" s="428"/>
      <c r="D283" s="546"/>
      <c r="E283" s="546"/>
      <c r="F283" s="546"/>
      <c r="G283" s="546"/>
      <c r="H283" s="546"/>
      <c r="I283" s="546"/>
      <c r="J283" s="469">
        <v>0</v>
      </c>
      <c r="K283" s="545">
        <v>0</v>
      </c>
      <c r="L283" s="470">
        <v>0</v>
      </c>
      <c r="M283" s="545">
        <v>0</v>
      </c>
      <c r="N283" s="428"/>
      <c r="O283" s="430"/>
      <c r="P283" s="418"/>
    </row>
    <row r="284" spans="1:16" s="419" customFormat="1" x14ac:dyDescent="0.3">
      <c r="A284" s="427"/>
      <c r="B284" s="469" t="s">
        <v>231</v>
      </c>
      <c r="C284" s="428"/>
      <c r="D284" s="546"/>
      <c r="E284" s="546"/>
      <c r="F284" s="546"/>
      <c r="G284" s="546"/>
      <c r="H284" s="546"/>
      <c r="I284" s="546"/>
      <c r="J284" s="469">
        <v>0</v>
      </c>
      <c r="K284" s="545">
        <v>0</v>
      </c>
      <c r="L284" s="470">
        <v>0</v>
      </c>
      <c r="M284" s="545">
        <v>0</v>
      </c>
      <c r="N284" s="428"/>
      <c r="O284" s="430"/>
      <c r="P284" s="418"/>
    </row>
    <row r="285" spans="1:16" s="419" customFormat="1" x14ac:dyDescent="0.3">
      <c r="A285" s="427"/>
      <c r="B285" s="469" t="s">
        <v>232</v>
      </c>
      <c r="C285" s="428"/>
      <c r="D285" s="546"/>
      <c r="E285" s="546"/>
      <c r="F285" s="546"/>
      <c r="G285" s="546"/>
      <c r="H285" s="546"/>
      <c r="I285" s="546"/>
      <c r="J285" s="469">
        <v>0</v>
      </c>
      <c r="K285" s="545">
        <v>0</v>
      </c>
      <c r="L285" s="470">
        <v>0</v>
      </c>
      <c r="M285" s="545">
        <v>0</v>
      </c>
      <c r="N285" s="428"/>
      <c r="O285" s="430"/>
      <c r="P285" s="418"/>
    </row>
    <row r="286" spans="1:16" s="419" customFormat="1" x14ac:dyDescent="0.3">
      <c r="A286" s="427"/>
      <c r="B286" s="469" t="s">
        <v>233</v>
      </c>
      <c r="C286" s="428"/>
      <c r="D286" s="546"/>
      <c r="E286" s="546"/>
      <c r="F286" s="546"/>
      <c r="G286" s="546"/>
      <c r="H286" s="546"/>
      <c r="I286" s="546"/>
      <c r="J286" s="469">
        <v>0</v>
      </c>
      <c r="K286" s="545">
        <v>0</v>
      </c>
      <c r="L286" s="470">
        <v>0</v>
      </c>
      <c r="M286" s="545">
        <v>0</v>
      </c>
      <c r="N286" s="428"/>
      <c r="O286" s="430"/>
      <c r="P286" s="418"/>
    </row>
    <row r="287" spans="1:16" s="419" customFormat="1" x14ac:dyDescent="0.3">
      <c r="A287" s="427"/>
      <c r="B287" s="469"/>
      <c r="C287" s="428"/>
      <c r="D287" s="546"/>
      <c r="E287" s="546"/>
      <c r="F287" s="546"/>
      <c r="G287" s="546"/>
      <c r="H287" s="546"/>
      <c r="I287" s="546"/>
      <c r="J287" s="469"/>
      <c r="K287" s="545"/>
      <c r="L287" s="470"/>
      <c r="M287" s="545"/>
      <c r="N287" s="428"/>
      <c r="O287" s="430"/>
      <c r="P287" s="418"/>
    </row>
    <row r="288" spans="1:16" s="419" customFormat="1" x14ac:dyDescent="0.3">
      <c r="A288" s="427"/>
      <c r="B288" s="428" t="s">
        <v>114</v>
      </c>
      <c r="C288" s="428"/>
      <c r="D288" s="546"/>
      <c r="E288" s="546"/>
      <c r="F288" s="546"/>
      <c r="G288" s="546"/>
      <c r="H288" s="546"/>
      <c r="I288" s="546"/>
      <c r="J288" s="469">
        <f>SUM(J274:J286)</f>
        <v>0</v>
      </c>
      <c r="K288" s="545">
        <f>SUM(K274:K286)</f>
        <v>0</v>
      </c>
      <c r="L288" s="470">
        <f>SUM(L274:L286)</f>
        <v>0</v>
      </c>
      <c r="M288" s="545">
        <f>SUM(M274:M286)</f>
        <v>0</v>
      </c>
      <c r="N288" s="428"/>
      <c r="O288" s="430"/>
      <c r="P288" s="418"/>
    </row>
    <row r="289" spans="1:16" s="419" customFormat="1" x14ac:dyDescent="0.3">
      <c r="A289" s="427"/>
      <c r="B289" s="428"/>
      <c r="C289" s="428"/>
      <c r="D289" s="546"/>
      <c r="E289" s="546"/>
      <c r="F289" s="546"/>
      <c r="G289" s="546"/>
      <c r="H289" s="546"/>
      <c r="I289" s="546"/>
      <c r="J289" s="469"/>
      <c r="K289" s="545"/>
      <c r="L289" s="470"/>
      <c r="M289" s="545"/>
      <c r="N289" s="428"/>
      <c r="O289" s="430"/>
      <c r="P289" s="418"/>
    </row>
    <row r="290" spans="1:16" s="419" customFormat="1" x14ac:dyDescent="0.3">
      <c r="A290" s="427"/>
      <c r="B290" s="433" t="s">
        <v>151</v>
      </c>
      <c r="C290" s="428"/>
      <c r="D290" s="546"/>
      <c r="E290" s="546"/>
      <c r="F290" s="546"/>
      <c r="G290" s="546"/>
      <c r="H290" s="546"/>
      <c r="I290" s="546"/>
      <c r="J290" s="551">
        <f>J288+J271+J254</f>
        <v>0</v>
      </c>
      <c r="K290" s="545"/>
      <c r="L290" s="552">
        <f>+L288+L271+L254</f>
        <v>0</v>
      </c>
      <c r="M290" s="545"/>
      <c r="N290" s="428"/>
      <c r="O290" s="430"/>
      <c r="P290" s="418"/>
    </row>
    <row r="291" spans="1:16" s="419" customFormat="1" x14ac:dyDescent="0.3">
      <c r="A291" s="415"/>
      <c r="B291" s="458"/>
      <c r="C291" s="458"/>
      <c r="D291" s="553"/>
      <c r="E291" s="553"/>
      <c r="F291" s="553"/>
      <c r="G291" s="553"/>
      <c r="H291" s="553"/>
      <c r="I291" s="553"/>
      <c r="J291" s="553"/>
      <c r="K291" s="553"/>
      <c r="L291" s="554"/>
      <c r="M291" s="553"/>
      <c r="N291" s="458"/>
      <c r="O291" s="458"/>
      <c r="P291" s="418"/>
    </row>
    <row r="292" spans="1:16" s="419" customFormat="1" x14ac:dyDescent="0.3">
      <c r="A292" s="415"/>
      <c r="B292" s="416"/>
      <c r="C292" s="416"/>
      <c r="D292" s="555"/>
      <c r="E292" s="555"/>
      <c r="F292" s="555"/>
      <c r="G292" s="555"/>
      <c r="H292" s="555"/>
      <c r="I292" s="555"/>
      <c r="J292" s="555"/>
      <c r="K292" s="555"/>
      <c r="L292" s="556"/>
      <c r="M292" s="555"/>
      <c r="N292" s="416"/>
      <c r="O292" s="416"/>
      <c r="P292" s="418"/>
    </row>
    <row r="293" spans="1:16" s="419" customFormat="1" x14ac:dyDescent="0.3">
      <c r="A293" s="415"/>
      <c r="B293" s="414" t="s">
        <v>88</v>
      </c>
      <c r="C293" s="416"/>
      <c r="D293" s="422" t="s">
        <v>94</v>
      </c>
      <c r="E293" s="416"/>
      <c r="F293" s="414" t="s">
        <v>96</v>
      </c>
      <c r="G293" s="416"/>
      <c r="H293" s="416"/>
      <c r="I293" s="416"/>
      <c r="J293" s="422"/>
      <c r="K293" s="416"/>
      <c r="L293" s="414"/>
      <c r="M293" s="416"/>
      <c r="N293" s="416"/>
      <c r="O293" s="416"/>
      <c r="P293" s="418"/>
    </row>
    <row r="294" spans="1:16" s="419" customFormat="1" x14ac:dyDescent="0.3">
      <c r="A294" s="415"/>
      <c r="B294" s="416"/>
      <c r="C294" s="416"/>
      <c r="D294" s="416"/>
      <c r="E294" s="416"/>
      <c r="F294" s="416"/>
      <c r="G294" s="416"/>
      <c r="H294" s="416"/>
      <c r="I294" s="416"/>
      <c r="J294" s="416"/>
      <c r="K294" s="416"/>
      <c r="L294" s="416"/>
      <c r="M294" s="416"/>
      <c r="N294" s="416"/>
      <c r="O294" s="416"/>
      <c r="P294" s="418"/>
    </row>
    <row r="295" spans="1:16" s="419" customFormat="1" x14ac:dyDescent="0.3">
      <c r="A295" s="557"/>
      <c r="B295" s="414" t="s">
        <v>273</v>
      </c>
      <c r="C295" s="414"/>
      <c r="D295" s="558" t="s">
        <v>240</v>
      </c>
      <c r="E295" s="558"/>
      <c r="F295" s="623" t="s">
        <v>295</v>
      </c>
      <c r="G295" s="414"/>
      <c r="H295" s="416"/>
      <c r="I295" s="416"/>
      <c r="J295" s="558"/>
      <c r="K295" s="414"/>
      <c r="L295" s="414"/>
      <c r="M295" s="416"/>
      <c r="N295" s="416"/>
      <c r="O295" s="416"/>
      <c r="P295" s="418"/>
    </row>
    <row r="296" spans="1:16" s="419" customFormat="1" x14ac:dyDescent="0.3">
      <c r="A296" s="415"/>
      <c r="B296" s="414" t="s">
        <v>274</v>
      </c>
      <c r="C296" s="414"/>
      <c r="D296" s="558" t="s">
        <v>137</v>
      </c>
      <c r="E296" s="414"/>
      <c r="F296" s="623" t="s">
        <v>296</v>
      </c>
      <c r="G296" s="416"/>
      <c r="H296" s="416"/>
      <c r="I296" s="416"/>
      <c r="J296" s="558"/>
      <c r="K296" s="414"/>
      <c r="L296" s="414"/>
      <c r="M296" s="416"/>
      <c r="N296" s="416"/>
      <c r="O296" s="416"/>
      <c r="P296" s="418"/>
    </row>
    <row r="297" spans="1:16" s="419" customFormat="1" x14ac:dyDescent="0.3">
      <c r="A297" s="415"/>
      <c r="B297" s="414"/>
      <c r="C297" s="414"/>
      <c r="D297" s="416"/>
      <c r="E297" s="416"/>
      <c r="F297" s="416"/>
      <c r="G297" s="416"/>
      <c r="H297" s="416"/>
      <c r="I297" s="416"/>
      <c r="J297" s="416"/>
      <c r="K297" s="416"/>
      <c r="L297" s="416"/>
      <c r="M297" s="416"/>
      <c r="N297" s="416"/>
      <c r="O297" s="416"/>
      <c r="P297" s="418"/>
    </row>
    <row r="298" spans="1:16" s="419" customFormat="1" x14ac:dyDescent="0.3">
      <c r="A298" s="415"/>
      <c r="B298" s="414"/>
      <c r="C298" s="414"/>
      <c r="D298" s="416"/>
      <c r="E298" s="416"/>
      <c r="F298" s="416"/>
      <c r="G298" s="416"/>
      <c r="H298" s="416"/>
      <c r="I298" s="416"/>
      <c r="J298" s="416"/>
      <c r="K298" s="416"/>
      <c r="L298" s="416"/>
      <c r="M298" s="416"/>
      <c r="N298" s="416"/>
      <c r="O298" s="416"/>
      <c r="P298" s="418"/>
    </row>
    <row r="299" spans="1:16" s="419" customFormat="1" ht="18.600000000000001" thickBot="1" x14ac:dyDescent="0.4">
      <c r="A299" s="415"/>
      <c r="B299" s="559" t="str">
        <f>B184</f>
        <v>FF7 INVESTOR REPORT QUARTER ENDING MAY 2019</v>
      </c>
      <c r="C299" s="414"/>
      <c r="D299" s="416"/>
      <c r="E299" s="416"/>
      <c r="F299" s="416"/>
      <c r="G299" s="416"/>
      <c r="H299" s="416"/>
      <c r="I299" s="416"/>
      <c r="J299" s="416"/>
      <c r="K299" s="416"/>
      <c r="L299" s="416"/>
      <c r="M299" s="416"/>
      <c r="N299" s="416"/>
      <c r="O299" s="416"/>
      <c r="P299" s="418"/>
    </row>
    <row r="300" spans="1:16" x14ac:dyDescent="0.3">
      <c r="A300" s="560"/>
      <c r="B300" s="560"/>
      <c r="C300" s="560"/>
      <c r="D300" s="560"/>
      <c r="E300" s="560"/>
      <c r="F300" s="560"/>
      <c r="G300" s="560"/>
      <c r="H300" s="560"/>
      <c r="I300" s="560"/>
      <c r="J300" s="560"/>
      <c r="K300" s="560"/>
      <c r="L300" s="560"/>
      <c r="M300" s="560"/>
      <c r="N300" s="560"/>
      <c r="O300" s="560"/>
    </row>
  </sheetData>
  <hyperlinks>
    <hyperlink ref="K9" r:id="rId1"/>
    <hyperlink ref="K220" r:id="rId2"/>
  </hyperlinks>
  <printOptions horizontalCentered="1" verticalCentered="1"/>
  <pageMargins left="0.19685039370078741" right="0.19685039370078741" top="0.27559055118110237" bottom="0.27559055118110237" header="0" footer="0"/>
  <pageSetup scale="53" orientation="landscape" r:id="rId3"/>
  <headerFooter alignWithMargins="0"/>
  <rowBreaks count="3" manualBreakCount="3">
    <brk id="52" max="14" man="1"/>
    <brk id="116" max="14" man="1"/>
    <brk id="184" max="14" man="1"/>
  </rowBreaks>
  <colBreaks count="1" manualBreakCount="1">
    <brk id="15" max="298"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IV283"/>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4.6199999999999998E-2</v>
      </c>
      <c r="L16" s="17" t="s">
        <v>133</v>
      </c>
      <c r="M16" s="129">
        <v>0.95379999999999998</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39622</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74"/>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74"/>
      <c r="N22" s="174"/>
      <c r="O22" s="8"/>
      <c r="P22" s="5"/>
    </row>
    <row r="23" spans="1:16" ht="15.6" x14ac:dyDescent="0.3">
      <c r="A23" s="24"/>
      <c r="B23" s="25" t="s">
        <v>7</v>
      </c>
      <c r="C23" s="26"/>
      <c r="D23" s="26" t="s">
        <v>134</v>
      </c>
      <c r="E23" s="26"/>
      <c r="F23" s="26" t="s">
        <v>152</v>
      </c>
      <c r="G23" s="26"/>
      <c r="H23" s="26" t="s">
        <v>135</v>
      </c>
      <c r="I23" s="26"/>
      <c r="J23" s="26"/>
      <c r="K23" s="26"/>
      <c r="L23" s="26"/>
      <c r="M23" s="175"/>
      <c r="N23" s="175"/>
      <c r="O23" s="25"/>
      <c r="P23" s="5"/>
    </row>
    <row r="24" spans="1:16" ht="15.6" x14ac:dyDescent="0.3">
      <c r="A24" s="28"/>
      <c r="B24" s="124" t="s">
        <v>162</v>
      </c>
      <c r="C24" s="118"/>
      <c r="D24" s="26" t="s">
        <v>134</v>
      </c>
      <c r="E24" s="26"/>
      <c r="F24" s="26" t="s">
        <v>152</v>
      </c>
      <c r="G24" s="26"/>
      <c r="H24" s="26" t="s">
        <v>135</v>
      </c>
      <c r="I24" s="26"/>
      <c r="J24" s="26"/>
      <c r="K24" s="118"/>
      <c r="L24" s="26"/>
      <c r="M24" s="175"/>
      <c r="N24" s="175"/>
      <c r="O24" s="25"/>
      <c r="P24" s="5"/>
    </row>
    <row r="25" spans="1:16" ht="15.6" x14ac:dyDescent="0.3">
      <c r="A25" s="24"/>
      <c r="B25" s="29" t="s">
        <v>163</v>
      </c>
      <c r="C25" s="26"/>
      <c r="D25" s="118" t="s">
        <v>134</v>
      </c>
      <c r="E25" s="118"/>
      <c r="F25" s="118" t="s">
        <v>152</v>
      </c>
      <c r="G25" s="118"/>
      <c r="H25" s="118" t="s">
        <v>135</v>
      </c>
      <c r="I25" s="118"/>
      <c r="J25" s="118"/>
      <c r="K25" s="26"/>
      <c r="L25" s="30"/>
      <c r="M25" s="175"/>
      <c r="N25" s="175"/>
      <c r="O25" s="25"/>
      <c r="P25" s="5"/>
    </row>
    <row r="26" spans="1:16" ht="15.6" x14ac:dyDescent="0.3">
      <c r="A26" s="24"/>
      <c r="B26" s="143" t="s">
        <v>164</v>
      </c>
      <c r="C26" s="26"/>
      <c r="D26" s="118" t="s">
        <v>134</v>
      </c>
      <c r="E26" s="118"/>
      <c r="F26" s="118" t="s">
        <v>152</v>
      </c>
      <c r="G26" s="118"/>
      <c r="H26" s="118" t="s">
        <v>135</v>
      </c>
      <c r="I26" s="118"/>
      <c r="J26" s="118"/>
      <c r="K26" s="26"/>
      <c r="L26" s="30"/>
      <c r="M26" s="175"/>
      <c r="N26" s="175"/>
      <c r="O26" s="25"/>
      <c r="P26" s="5"/>
    </row>
    <row r="27" spans="1:16" ht="15.6" x14ac:dyDescent="0.3">
      <c r="A27" s="24"/>
      <c r="B27" s="25" t="s">
        <v>8</v>
      </c>
      <c r="C27" s="32"/>
      <c r="D27" s="26" t="s">
        <v>218</v>
      </c>
      <c r="E27" s="26"/>
      <c r="F27" s="26" t="s">
        <v>219</v>
      </c>
      <c r="G27" s="26"/>
      <c r="H27" s="26" t="s">
        <v>220</v>
      </c>
      <c r="I27" s="26"/>
      <c r="J27" s="26"/>
      <c r="K27" s="31"/>
      <c r="L27" s="31"/>
      <c r="M27" s="176"/>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175489.73249999998</v>
      </c>
      <c r="E29" s="31"/>
      <c r="F29" s="31">
        <f>F28*F32</f>
        <v>4050</v>
      </c>
      <c r="G29" s="31"/>
      <c r="H29" s="31">
        <f>H28*H32</f>
        <v>4050</v>
      </c>
      <c r="I29" s="31"/>
      <c r="J29" s="119"/>
      <c r="K29" s="31"/>
      <c r="L29" s="31"/>
      <c r="M29" s="176"/>
      <c r="N29" s="31">
        <f>SUM(D29:H29)</f>
        <v>183589.73249999998</v>
      </c>
      <c r="O29" s="34"/>
      <c r="P29" s="5"/>
    </row>
    <row r="30" spans="1:16" ht="15.6" x14ac:dyDescent="0.3">
      <c r="A30" s="24"/>
      <c r="B30" s="29" t="s">
        <v>130</v>
      </c>
      <c r="C30" s="32"/>
      <c r="D30" s="35">
        <f>D28*D31</f>
        <v>162628.587</v>
      </c>
      <c r="E30" s="35"/>
      <c r="F30" s="35">
        <f>F28*F31</f>
        <v>4050</v>
      </c>
      <c r="G30" s="35"/>
      <c r="H30" s="35">
        <f>H28*H31</f>
        <v>4050</v>
      </c>
      <c r="I30" s="35"/>
      <c r="J30" s="120"/>
      <c r="K30" s="31"/>
      <c r="L30" s="31"/>
      <c r="M30" s="176"/>
      <c r="N30" s="145">
        <f>SUM(D30:I30)</f>
        <v>170728.587</v>
      </c>
      <c r="O30" s="34"/>
      <c r="P30" s="5"/>
    </row>
    <row r="31" spans="1:16" ht="15.6" x14ac:dyDescent="0.3">
      <c r="A31" s="24"/>
      <c r="B31" s="117" t="s">
        <v>126</v>
      </c>
      <c r="C31" s="25"/>
      <c r="D31" s="171">
        <v>0.62429400000000002</v>
      </c>
      <c r="E31" s="171"/>
      <c r="F31" s="171">
        <v>1</v>
      </c>
      <c r="G31" s="171"/>
      <c r="H31" s="171">
        <v>1</v>
      </c>
      <c r="I31" s="128"/>
      <c r="J31" s="128"/>
      <c r="K31" s="30"/>
      <c r="L31" s="30"/>
      <c r="M31" s="175"/>
      <c r="N31" s="175"/>
      <c r="O31" s="25"/>
      <c r="P31" s="5"/>
    </row>
    <row r="32" spans="1:16" ht="15.6" x14ac:dyDescent="0.3">
      <c r="A32" s="24"/>
      <c r="B32" s="117" t="s">
        <v>127</v>
      </c>
      <c r="C32" s="25"/>
      <c r="D32" s="171">
        <v>0.67366499999999996</v>
      </c>
      <c r="E32" s="171"/>
      <c r="F32" s="171">
        <v>1</v>
      </c>
      <c r="G32" s="171"/>
      <c r="H32" s="171">
        <v>1</v>
      </c>
      <c r="I32" s="128"/>
      <c r="J32" s="128"/>
      <c r="K32" s="39"/>
      <c r="L32" s="38"/>
      <c r="M32" s="175"/>
      <c r="N32" s="39"/>
      <c r="O32" s="25"/>
      <c r="P32" s="5"/>
    </row>
    <row r="33" spans="1:17" ht="15.6" x14ac:dyDescent="0.3">
      <c r="A33" s="24"/>
      <c r="B33" s="25" t="s">
        <v>9</v>
      </c>
      <c r="C33" s="25"/>
      <c r="D33" s="30" t="s">
        <v>192</v>
      </c>
      <c r="E33" s="30"/>
      <c r="F33" s="30" t="s">
        <v>194</v>
      </c>
      <c r="G33" s="30"/>
      <c r="H33" s="30" t="s">
        <v>196</v>
      </c>
      <c r="I33" s="30"/>
      <c r="J33" s="30"/>
      <c r="K33" s="39"/>
      <c r="L33" s="38"/>
      <c r="M33" s="175"/>
      <c r="N33" s="175"/>
      <c r="O33" s="25"/>
      <c r="P33" s="5"/>
    </row>
    <row r="34" spans="1:17" ht="15.6" x14ac:dyDescent="0.3">
      <c r="A34" s="24"/>
      <c r="B34" s="25" t="s">
        <v>10</v>
      </c>
      <c r="C34" s="25"/>
      <c r="D34" s="38">
        <v>6.0787500000000001E-2</v>
      </c>
      <c r="E34" s="39"/>
      <c r="F34" s="38">
        <v>6.1387499999999998E-2</v>
      </c>
      <c r="G34" s="39"/>
      <c r="H34" s="38">
        <v>6.2387499999999999E-2</v>
      </c>
      <c r="I34" s="39"/>
      <c r="J34" s="38"/>
      <c r="K34" s="39"/>
      <c r="L34" s="38"/>
      <c r="M34" s="175"/>
      <c r="N34" s="39">
        <f>SUMPRODUCT(D34:H34,D29:H29)/N29</f>
        <v>6.0836032125836617E-2</v>
      </c>
      <c r="O34" s="25"/>
      <c r="P34" s="5"/>
    </row>
    <row r="35" spans="1:17" ht="15.6" x14ac:dyDescent="0.3">
      <c r="A35" s="24"/>
      <c r="B35" s="25" t="s">
        <v>11</v>
      </c>
      <c r="C35" s="25"/>
      <c r="D35" s="38">
        <v>6.5512500000000001E-2</v>
      </c>
      <c r="E35" s="39"/>
      <c r="F35" s="38">
        <v>6.6112500000000005E-2</v>
      </c>
      <c r="G35" s="39"/>
      <c r="H35" s="38">
        <v>6.7112500000000005E-2</v>
      </c>
      <c r="I35" s="38"/>
      <c r="J35" s="38"/>
      <c r="K35" s="39"/>
      <c r="L35" s="38"/>
      <c r="M35" s="175"/>
      <c r="N35" s="39" t="s">
        <v>165</v>
      </c>
      <c r="O35" s="25"/>
      <c r="P35" s="5"/>
    </row>
    <row r="36" spans="1:17" ht="15.6" x14ac:dyDescent="0.3">
      <c r="A36" s="24"/>
      <c r="B36" s="25" t="s">
        <v>12</v>
      </c>
      <c r="C36" s="25"/>
      <c r="D36" s="105">
        <v>40617</v>
      </c>
      <c r="E36" s="105"/>
      <c r="F36" s="105">
        <v>40617</v>
      </c>
      <c r="G36" s="105"/>
      <c r="H36" s="105">
        <v>40617</v>
      </c>
      <c r="I36" s="105"/>
      <c r="J36" s="105"/>
      <c r="K36" s="30"/>
      <c r="L36" s="30"/>
      <c r="M36" s="175"/>
      <c r="N36" s="175"/>
      <c r="O36" s="25"/>
      <c r="P36" s="5"/>
    </row>
    <row r="37" spans="1:17" ht="15.6" x14ac:dyDescent="0.3">
      <c r="A37" s="24"/>
      <c r="B37" s="25" t="s">
        <v>13</v>
      </c>
      <c r="C37" s="25"/>
      <c r="D37" s="105">
        <v>40983</v>
      </c>
      <c r="E37" s="30"/>
      <c r="F37" s="105">
        <v>40983</v>
      </c>
      <c r="G37" s="30"/>
      <c r="H37" s="105">
        <v>40983</v>
      </c>
      <c r="I37" s="30"/>
      <c r="J37" s="105"/>
      <c r="K37" s="30"/>
      <c r="L37" s="30"/>
      <c r="M37" s="175"/>
      <c r="N37" s="175"/>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0"/>
      <c r="G39" s="30"/>
      <c r="H39" s="30"/>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4.9806741541694635E-2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39615</v>
      </c>
      <c r="O45" s="25"/>
      <c r="P45" s="5"/>
    </row>
    <row r="46" spans="1:17" ht="15.6" x14ac:dyDescent="0.3">
      <c r="A46" s="24"/>
      <c r="B46" s="25" t="s">
        <v>119</v>
      </c>
      <c r="C46" s="25"/>
      <c r="D46" s="56"/>
      <c r="E46" s="56"/>
      <c r="F46" s="56"/>
      <c r="G46" s="56"/>
      <c r="H46" s="56"/>
      <c r="I46" s="56"/>
      <c r="J46" s="25">
        <f>+N46-L46+1</f>
        <v>91</v>
      </c>
      <c r="K46" s="56"/>
      <c r="L46" s="44">
        <v>39433</v>
      </c>
      <c r="M46" s="45"/>
      <c r="N46" s="44">
        <v>39523</v>
      </c>
      <c r="O46" s="25"/>
      <c r="P46" s="5"/>
    </row>
    <row r="47" spans="1:17" ht="15.6" x14ac:dyDescent="0.3">
      <c r="A47" s="24"/>
      <c r="B47" s="25" t="s">
        <v>120</v>
      </c>
      <c r="C47" s="25"/>
      <c r="D47" s="25"/>
      <c r="E47" s="25"/>
      <c r="F47" s="25"/>
      <c r="G47" s="25"/>
      <c r="H47" s="25"/>
      <c r="I47" s="25"/>
      <c r="J47" s="25">
        <f>+N47-L47+1</f>
        <v>91</v>
      </c>
      <c r="K47" s="25"/>
      <c r="L47" s="44">
        <v>39524</v>
      </c>
      <c r="M47" s="45"/>
      <c r="N47" s="44">
        <v>39614</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39601</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246</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183590</v>
      </c>
      <c r="G57" s="34"/>
      <c r="H57" s="34">
        <f>12861+3712</f>
        <v>16573</v>
      </c>
      <c r="I57" s="34"/>
      <c r="J57" s="34">
        <v>3712</v>
      </c>
      <c r="K57" s="34"/>
      <c r="L57" s="34">
        <v>0</v>
      </c>
      <c r="M57" s="34"/>
      <c r="N57" s="52">
        <f>+F57-H57+J57-L57</f>
        <v>170729</v>
      </c>
      <c r="O57" s="25"/>
      <c r="P57" s="5"/>
    </row>
    <row r="58" spans="1:16" ht="15.6" x14ac:dyDescent="0.3">
      <c r="A58" s="24"/>
      <c r="B58" s="25" t="s">
        <v>209</v>
      </c>
      <c r="C58" s="34"/>
      <c r="D58" s="34">
        <v>756</v>
      </c>
      <c r="E58" s="34"/>
      <c r="F58" s="52">
        <v>602</v>
      </c>
      <c r="G58" s="34"/>
      <c r="H58" s="34">
        <v>40</v>
      </c>
      <c r="I58" s="34"/>
      <c r="J58" s="34">
        <v>0</v>
      </c>
      <c r="K58" s="34"/>
      <c r="L58" s="34">
        <v>0</v>
      </c>
      <c r="M58" s="34"/>
      <c r="N58" s="52">
        <f>+F58-H58</f>
        <v>562</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184192</v>
      </c>
      <c r="G60" s="34"/>
      <c r="H60" s="34">
        <f>SUM(H57:H59)</f>
        <v>16613</v>
      </c>
      <c r="I60" s="34"/>
      <c r="J60" s="34">
        <f>SUM(J57:J59)</f>
        <v>3712</v>
      </c>
      <c r="K60" s="34"/>
      <c r="L60" s="34">
        <f>SUM(L57:L59)</f>
        <v>0</v>
      </c>
      <c r="M60" s="34"/>
      <c r="N60" s="53">
        <f>SUM(N57:N59)</f>
        <v>171291</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-602</v>
      </c>
      <c r="G69" s="34"/>
      <c r="H69" s="34"/>
      <c r="I69" s="34"/>
      <c r="J69" s="34"/>
      <c r="K69" s="34"/>
      <c r="L69" s="34"/>
      <c r="M69" s="34"/>
      <c r="N69" s="52">
        <f>-N58</f>
        <v>-562</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0</v>
      </c>
      <c r="G71" s="34"/>
      <c r="H71" s="34">
        <v>0</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183590</v>
      </c>
      <c r="G73" s="34"/>
      <c r="H73" s="34"/>
      <c r="I73" s="34"/>
      <c r="J73" s="34"/>
      <c r="K73" s="34"/>
      <c r="L73" s="53"/>
      <c r="M73" s="34"/>
      <c r="N73" s="53">
        <f>SUM(N60:N72)</f>
        <v>170729</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+L184</f>
        <v>39598</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0</v>
      </c>
      <c r="M77" s="25"/>
      <c r="N77" s="52">
        <v>0</v>
      </c>
      <c r="O77" s="25"/>
      <c r="P77" s="5"/>
    </row>
    <row r="78" spans="1:16" ht="15.6" x14ac:dyDescent="0.3">
      <c r="A78" s="24"/>
      <c r="B78" s="25" t="s">
        <v>27</v>
      </c>
      <c r="C78" s="25"/>
      <c r="D78" s="40"/>
      <c r="E78" s="25"/>
      <c r="F78" s="121"/>
      <c r="G78" s="25"/>
      <c r="H78" s="25"/>
      <c r="I78" s="25"/>
      <c r="J78" s="25"/>
      <c r="K78" s="25"/>
      <c r="L78" s="34">
        <f>16573+2</f>
        <v>16575</v>
      </c>
      <c r="M78" s="25"/>
      <c r="N78" s="52"/>
      <c r="O78" s="25"/>
      <c r="P78" s="5"/>
    </row>
    <row r="79" spans="1:16" ht="15.6" x14ac:dyDescent="0.3">
      <c r="A79" s="24"/>
      <c r="B79" s="25" t="s">
        <v>176</v>
      </c>
      <c r="C79" s="25"/>
      <c r="D79" s="40"/>
      <c r="E79" s="25"/>
      <c r="F79" s="121"/>
      <c r="G79" s="25"/>
      <c r="H79" s="25"/>
      <c r="I79" s="25"/>
      <c r="J79" s="25"/>
      <c r="K79" s="25"/>
      <c r="L79" s="34"/>
      <c r="M79" s="25"/>
      <c r="N79" s="52">
        <f>5390+149+2007-6160-49-741+57</f>
        <v>653</v>
      </c>
      <c r="O79" s="25"/>
      <c r="P79" s="5"/>
    </row>
    <row r="80" spans="1:16" ht="15.6" x14ac:dyDescent="0.3">
      <c r="A80" s="24"/>
      <c r="B80" s="25" t="s">
        <v>174</v>
      </c>
      <c r="C80" s="25"/>
      <c r="D80" s="40"/>
      <c r="E80" s="25"/>
      <c r="F80" s="121"/>
      <c r="G80" s="25"/>
      <c r="H80" s="25"/>
      <c r="I80" s="25"/>
      <c r="J80" s="25"/>
      <c r="K80" s="25"/>
      <c r="L80" s="34"/>
      <c r="M80" s="25"/>
      <c r="N80" s="52">
        <f>150+2+48</f>
        <v>200</v>
      </c>
      <c r="O80" s="25"/>
      <c r="P80" s="5"/>
    </row>
    <row r="81" spans="1:17" ht="15.6" x14ac:dyDescent="0.3">
      <c r="A81" s="24"/>
      <c r="B81" s="25" t="s">
        <v>175</v>
      </c>
      <c r="C81" s="25"/>
      <c r="D81" s="40"/>
      <c r="E81" s="25"/>
      <c r="F81" s="121"/>
      <c r="G81" s="25"/>
      <c r="H81" s="25"/>
      <c r="I81" s="25"/>
      <c r="J81" s="25"/>
      <c r="K81" s="25"/>
      <c r="L81" s="34"/>
      <c r="M81" s="25"/>
      <c r="N81" s="52">
        <v>164</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0</v>
      </c>
      <c r="O83" s="25"/>
      <c r="P83" s="5"/>
    </row>
    <row r="84" spans="1:17" ht="15.6" x14ac:dyDescent="0.3">
      <c r="A84" s="24"/>
      <c r="B84" s="25" t="s">
        <v>28</v>
      </c>
      <c r="C84" s="25"/>
      <c r="D84" s="25"/>
      <c r="E84" s="25"/>
      <c r="F84" s="25"/>
      <c r="G84" s="25"/>
      <c r="H84" s="25"/>
      <c r="I84" s="25"/>
      <c r="J84" s="25"/>
      <c r="K84" s="25"/>
      <c r="L84" s="34">
        <f>SUM(L77:L83)</f>
        <v>16575</v>
      </c>
      <c r="M84" s="25"/>
      <c r="N84" s="53">
        <f>SUM(N77:N83)</f>
        <v>1017</v>
      </c>
      <c r="O84" s="25"/>
      <c r="P84" s="5"/>
    </row>
    <row r="85" spans="1:17" ht="15.6" x14ac:dyDescent="0.3">
      <c r="A85" s="24"/>
      <c r="B85" s="25" t="s">
        <v>148</v>
      </c>
      <c r="C85" s="25"/>
      <c r="D85" s="25"/>
      <c r="E85" s="25"/>
      <c r="F85" s="25"/>
      <c r="G85" s="25"/>
      <c r="H85" s="25"/>
      <c r="I85" s="25"/>
      <c r="J85" s="25"/>
      <c r="K85" s="25"/>
      <c r="L85" s="34">
        <v>-2539</v>
      </c>
      <c r="M85" s="25"/>
      <c r="N85" s="53">
        <f>-L85</f>
        <v>2539</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244</v>
      </c>
      <c r="C87" s="25"/>
      <c r="D87" s="25"/>
      <c r="E87" s="25"/>
      <c r="F87" s="25"/>
      <c r="G87" s="25"/>
      <c r="H87" s="25"/>
      <c r="I87" s="25"/>
      <c r="J87" s="25"/>
      <c r="K87" s="25"/>
      <c r="L87" s="34"/>
      <c r="M87" s="25"/>
      <c r="N87" s="52">
        <v>0</v>
      </c>
      <c r="O87" s="25"/>
      <c r="P87" s="5"/>
    </row>
    <row r="88" spans="1:17" ht="15.6" x14ac:dyDescent="0.3">
      <c r="A88" s="24"/>
      <c r="B88" s="25" t="s">
        <v>30</v>
      </c>
      <c r="C88" s="25"/>
      <c r="D88" s="25"/>
      <c r="E88" s="25"/>
      <c r="F88" s="25"/>
      <c r="G88" s="25"/>
      <c r="H88" s="25"/>
      <c r="I88" s="25"/>
      <c r="J88" s="25"/>
      <c r="K88" s="25"/>
      <c r="L88" s="34">
        <f>L84+L86+L85</f>
        <v>14036</v>
      </c>
      <c r="M88" s="25"/>
      <c r="N88" s="53">
        <f>N84+N86+N85+N87</f>
        <v>3556</v>
      </c>
      <c r="O88" s="25"/>
      <c r="P88" s="5"/>
    </row>
    <row r="89" spans="1:17" ht="15.6" x14ac:dyDescent="0.3">
      <c r="A89" s="24"/>
      <c r="B89" s="113" t="s">
        <v>31</v>
      </c>
      <c r="C89" s="25"/>
      <c r="D89" s="25"/>
      <c r="E89" s="25"/>
      <c r="F89" s="25"/>
      <c r="G89" s="25"/>
      <c r="H89" s="25"/>
      <c r="I89" s="25"/>
      <c r="J89" s="25"/>
      <c r="K89" s="25"/>
      <c r="L89" s="34"/>
      <c r="M89" s="25"/>
      <c r="N89" s="52"/>
      <c r="O89" s="25"/>
      <c r="P89" s="5"/>
    </row>
    <row r="90" spans="1:17" ht="15.6" x14ac:dyDescent="0.3">
      <c r="A90" s="24">
        <v>1</v>
      </c>
      <c r="B90" s="25" t="s">
        <v>32</v>
      </c>
      <c r="C90" s="25"/>
      <c r="D90" s="25"/>
      <c r="E90" s="25"/>
      <c r="F90" s="25"/>
      <c r="G90" s="25"/>
      <c r="H90" s="25"/>
      <c r="I90" s="25"/>
      <c r="J90" s="25"/>
      <c r="K90" s="25"/>
      <c r="L90" s="25"/>
      <c r="M90" s="25"/>
      <c r="N90" s="52">
        <v>0</v>
      </c>
      <c r="O90" s="25"/>
      <c r="P90" s="5"/>
    </row>
    <row r="91" spans="1:17" ht="15.6" x14ac:dyDescent="0.3">
      <c r="A91" s="24">
        <f>+A90+1</f>
        <v>2</v>
      </c>
      <c r="B91" s="25" t="s">
        <v>224</v>
      </c>
      <c r="C91" s="25"/>
      <c r="D91" s="25"/>
      <c r="E91" s="25"/>
      <c r="F91" s="25"/>
      <c r="G91" s="25"/>
      <c r="H91" s="25"/>
      <c r="I91" s="25"/>
      <c r="J91" s="25"/>
      <c r="K91" s="25"/>
      <c r="L91" s="25"/>
      <c r="M91" s="25"/>
      <c r="N91" s="52">
        <v>-2</v>
      </c>
      <c r="O91" s="25"/>
      <c r="P91" s="5"/>
    </row>
    <row r="92" spans="1:17" ht="15.6" x14ac:dyDescent="0.3">
      <c r="A92" s="24">
        <f>+A91+1</f>
        <v>3</v>
      </c>
      <c r="B92" s="25" t="s">
        <v>235</v>
      </c>
      <c r="C92" s="25"/>
      <c r="D92" s="25"/>
      <c r="E92" s="25"/>
      <c r="F92" s="25"/>
      <c r="G92" s="25"/>
      <c r="H92" s="25"/>
      <c r="I92" s="25"/>
      <c r="J92" s="25"/>
      <c r="K92" s="25"/>
      <c r="L92" s="25"/>
      <c r="M92" s="25"/>
      <c r="N92" s="52">
        <f>-70-7-2-9</f>
        <v>-88</v>
      </c>
      <c r="O92" s="25"/>
      <c r="P92" s="5"/>
    </row>
    <row r="93" spans="1:17" ht="15.6" x14ac:dyDescent="0.3">
      <c r="A93" s="24" t="s">
        <v>123</v>
      </c>
      <c r="B93" s="25" t="s">
        <v>116</v>
      </c>
      <c r="C93" s="25"/>
      <c r="D93" s="25"/>
      <c r="E93" s="25"/>
      <c r="F93" s="25"/>
      <c r="G93" s="25"/>
      <c r="H93" s="25"/>
      <c r="I93" s="25"/>
      <c r="J93" s="25"/>
      <c r="K93" s="25"/>
      <c r="L93" s="25"/>
      <c r="M93" s="25"/>
      <c r="N93" s="52">
        <v>0</v>
      </c>
      <c r="O93" s="25"/>
      <c r="P93" s="5"/>
    </row>
    <row r="94" spans="1:17" ht="15.6" x14ac:dyDescent="0.3">
      <c r="A94" s="24" t="s">
        <v>124</v>
      </c>
      <c r="B94" s="25" t="s">
        <v>214</v>
      </c>
      <c r="C94" s="25"/>
      <c r="D94" s="25"/>
      <c r="E94" s="25"/>
      <c r="F94" s="25"/>
      <c r="G94" s="25"/>
      <c r="H94" s="25"/>
      <c r="I94" s="25"/>
      <c r="J94" s="25"/>
      <c r="K94" s="25"/>
      <c r="L94" s="25"/>
      <c r="M94" s="25"/>
      <c r="N94" s="52">
        <v>-2660</v>
      </c>
      <c r="O94" s="25"/>
      <c r="P94" s="5"/>
    </row>
    <row r="95" spans="1:17" ht="15.6" x14ac:dyDescent="0.3">
      <c r="A95" s="24" t="s">
        <v>140</v>
      </c>
      <c r="B95" s="25" t="s">
        <v>180</v>
      </c>
      <c r="C95" s="25"/>
      <c r="D95" s="25"/>
      <c r="E95" s="25"/>
      <c r="F95" s="25"/>
      <c r="G95" s="25"/>
      <c r="H95" s="25"/>
      <c r="I95" s="25"/>
      <c r="J95" s="25"/>
      <c r="K95" s="25"/>
      <c r="L95" s="25"/>
      <c r="M95" s="25"/>
      <c r="N95" s="52">
        <v>-2</v>
      </c>
      <c r="O95" s="25"/>
      <c r="P95" s="5"/>
    </row>
    <row r="96" spans="1:17" ht="15.6" x14ac:dyDescent="0.3">
      <c r="A96" s="24" t="s">
        <v>169</v>
      </c>
      <c r="B96" s="25" t="s">
        <v>215</v>
      </c>
      <c r="C96" s="25"/>
      <c r="D96" s="25"/>
      <c r="E96" s="25"/>
      <c r="F96" s="25"/>
      <c r="G96" s="25"/>
      <c r="H96" s="25"/>
      <c r="I96" s="25"/>
      <c r="J96" s="25"/>
      <c r="K96" s="25"/>
      <c r="L96" s="25"/>
      <c r="M96" s="25"/>
      <c r="N96" s="52">
        <v>-62</v>
      </c>
      <c r="O96" s="25"/>
      <c r="P96" s="5"/>
      <c r="Q96" s="104"/>
    </row>
    <row r="97" spans="1:17" ht="15.6" x14ac:dyDescent="0.3">
      <c r="A97" s="24" t="s">
        <v>170</v>
      </c>
      <c r="B97" s="25" t="s">
        <v>216</v>
      </c>
      <c r="C97" s="25"/>
      <c r="D97" s="25"/>
      <c r="E97" s="25"/>
      <c r="F97" s="25"/>
      <c r="G97" s="25"/>
      <c r="H97" s="25"/>
      <c r="I97" s="25"/>
      <c r="J97" s="25"/>
      <c r="K97" s="25"/>
      <c r="L97" s="25"/>
      <c r="M97" s="25"/>
      <c r="N97" s="52">
        <v>-63</v>
      </c>
      <c r="O97" s="25"/>
      <c r="P97" s="5"/>
      <c r="Q97" s="104"/>
    </row>
    <row r="98" spans="1:17" ht="15.6" x14ac:dyDescent="0.3">
      <c r="A98" s="24">
        <v>7</v>
      </c>
      <c r="B98" s="25" t="s">
        <v>33</v>
      </c>
      <c r="C98" s="25"/>
      <c r="D98" s="25"/>
      <c r="E98" s="25"/>
      <c r="F98" s="25"/>
      <c r="G98" s="25"/>
      <c r="H98" s="25"/>
      <c r="I98" s="25"/>
      <c r="J98" s="25"/>
      <c r="K98" s="25"/>
      <c r="L98" s="25"/>
      <c r="M98" s="25"/>
      <c r="N98" s="52">
        <v>-9</v>
      </c>
      <c r="O98" s="25"/>
      <c r="P98" s="5"/>
    </row>
    <row r="99" spans="1:17" ht="15.6" x14ac:dyDescent="0.3">
      <c r="A99" s="24">
        <f t="shared" ref="A99:A105" si="0">+A98+1</f>
        <v>8</v>
      </c>
      <c r="B99" s="25" t="s">
        <v>42</v>
      </c>
      <c r="C99" s="25"/>
      <c r="D99" s="25"/>
      <c r="E99" s="25"/>
      <c r="F99" s="25"/>
      <c r="G99" s="25"/>
      <c r="H99" s="25"/>
      <c r="I99" s="25"/>
      <c r="J99" s="25"/>
      <c r="K99" s="25"/>
      <c r="L99" s="34">
        <f>-N99</f>
        <v>-2</v>
      </c>
      <c r="M99" s="25"/>
      <c r="N99" s="52">
        <v>2</v>
      </c>
      <c r="O99" s="25"/>
      <c r="P99" s="5"/>
    </row>
    <row r="100" spans="1:17" ht="15.6" x14ac:dyDescent="0.3">
      <c r="A100" s="24">
        <f t="shared" si="0"/>
        <v>9</v>
      </c>
      <c r="B100" s="25" t="s">
        <v>121</v>
      </c>
      <c r="C100" s="25"/>
      <c r="D100" s="25"/>
      <c r="E100" s="25"/>
      <c r="F100" s="25"/>
      <c r="G100" s="25"/>
      <c r="H100" s="25"/>
      <c r="I100" s="25"/>
      <c r="J100" s="25"/>
      <c r="K100" s="25"/>
      <c r="L100" s="25"/>
      <c r="M100" s="25"/>
      <c r="N100" s="52">
        <v>0</v>
      </c>
      <c r="O100" s="25"/>
      <c r="P100" s="5"/>
    </row>
    <row r="101" spans="1:17" ht="15.6" x14ac:dyDescent="0.3">
      <c r="A101" s="24">
        <f t="shared" si="0"/>
        <v>10</v>
      </c>
      <c r="B101" s="25" t="s">
        <v>182</v>
      </c>
      <c r="C101" s="25"/>
      <c r="D101" s="25"/>
      <c r="E101" s="25"/>
      <c r="F101" s="25"/>
      <c r="G101" s="25"/>
      <c r="H101" s="25"/>
      <c r="I101" s="25"/>
      <c r="J101" s="25"/>
      <c r="K101" s="25"/>
      <c r="L101" s="25"/>
      <c r="M101" s="25"/>
      <c r="N101" s="52">
        <v>0</v>
      </c>
      <c r="O101" s="25"/>
      <c r="P101" s="5"/>
    </row>
    <row r="102" spans="1:17" ht="15.6" x14ac:dyDescent="0.3">
      <c r="A102" s="24">
        <f t="shared" si="0"/>
        <v>11</v>
      </c>
      <c r="B102" s="25" t="s">
        <v>34</v>
      </c>
      <c r="C102" s="25"/>
      <c r="D102" s="25"/>
      <c r="E102" s="25"/>
      <c r="F102" s="25"/>
      <c r="G102" s="25"/>
      <c r="H102" s="25"/>
      <c r="I102" s="25"/>
      <c r="J102" s="25"/>
      <c r="K102" s="25"/>
      <c r="L102" s="25"/>
      <c r="M102" s="25"/>
      <c r="N102" s="52">
        <v>0</v>
      </c>
      <c r="O102" s="25"/>
      <c r="P102" s="5"/>
    </row>
    <row r="103" spans="1:17" ht="15.6" x14ac:dyDescent="0.3">
      <c r="A103" s="24">
        <f t="shared" si="0"/>
        <v>12</v>
      </c>
      <c r="B103" s="25" t="s">
        <v>181</v>
      </c>
      <c r="C103" s="25"/>
      <c r="D103" s="25"/>
      <c r="E103" s="25"/>
      <c r="F103" s="25"/>
      <c r="G103" s="25"/>
      <c r="H103" s="25"/>
      <c r="I103" s="25"/>
      <c r="J103" s="25"/>
      <c r="K103" s="25"/>
      <c r="L103" s="25"/>
      <c r="M103" s="25"/>
      <c r="N103" s="52">
        <v>0</v>
      </c>
      <c r="O103" s="25"/>
      <c r="P103" s="5"/>
    </row>
    <row r="104" spans="1:17" ht="15.6" x14ac:dyDescent="0.3">
      <c r="A104" s="24">
        <f t="shared" si="0"/>
        <v>13</v>
      </c>
      <c r="B104" s="25" t="s">
        <v>139</v>
      </c>
      <c r="C104" s="25"/>
      <c r="D104" s="25"/>
      <c r="E104" s="25"/>
      <c r="F104" s="25"/>
      <c r="G104" s="25"/>
      <c r="H104" s="25"/>
      <c r="I104" s="25"/>
      <c r="J104" s="25"/>
      <c r="K104" s="25"/>
      <c r="L104" s="25"/>
      <c r="M104" s="25"/>
      <c r="N104" s="52">
        <v>-69</v>
      </c>
      <c r="O104" s="25"/>
      <c r="P104" s="5"/>
    </row>
    <row r="105" spans="1:17" ht="15.6" x14ac:dyDescent="0.3">
      <c r="A105" s="24">
        <f t="shared" si="0"/>
        <v>14</v>
      </c>
      <c r="B105" s="25" t="s">
        <v>122</v>
      </c>
      <c r="C105" s="25"/>
      <c r="D105" s="25"/>
      <c r="E105" s="25"/>
      <c r="F105" s="25"/>
      <c r="G105" s="25"/>
      <c r="H105" s="25"/>
      <c r="I105" s="25"/>
      <c r="J105" s="25"/>
      <c r="K105" s="25"/>
      <c r="L105" s="25"/>
      <c r="M105" s="25"/>
      <c r="N105" s="52">
        <f>-N88-SUM(N90:N104)</f>
        <v>-603</v>
      </c>
      <c r="O105" s="25"/>
      <c r="P105" s="5"/>
    </row>
    <row r="106" spans="1:17" ht="15.6" x14ac:dyDescent="0.3">
      <c r="A106" s="24"/>
      <c r="B106" s="113" t="s">
        <v>35</v>
      </c>
      <c r="C106" s="25"/>
      <c r="D106" s="25"/>
      <c r="E106" s="25"/>
      <c r="F106" s="25"/>
      <c r="G106" s="25"/>
      <c r="H106" s="25"/>
      <c r="I106" s="25"/>
      <c r="J106" s="25"/>
      <c r="K106" s="25"/>
      <c r="L106" s="25"/>
      <c r="M106" s="25"/>
      <c r="N106" s="57"/>
      <c r="O106" s="25"/>
      <c r="P106" s="5"/>
    </row>
    <row r="107" spans="1:17" ht="15.6" x14ac:dyDescent="0.3">
      <c r="A107" s="24"/>
      <c r="B107" s="25" t="s">
        <v>160</v>
      </c>
      <c r="C107" s="25"/>
      <c r="D107" s="25"/>
      <c r="E107" s="25"/>
      <c r="F107" s="25"/>
      <c r="G107" s="25"/>
      <c r="H107" s="25"/>
      <c r="I107" s="25"/>
      <c r="J107" s="25"/>
      <c r="K107" s="25"/>
      <c r="L107" s="34">
        <v>0</v>
      </c>
      <c r="M107" s="34"/>
      <c r="N107" s="52"/>
      <c r="O107" s="25"/>
      <c r="P107" s="5"/>
    </row>
    <row r="108" spans="1:17" ht="15.6" x14ac:dyDescent="0.3">
      <c r="A108" s="24"/>
      <c r="B108" s="25" t="s">
        <v>161</v>
      </c>
      <c r="C108" s="25"/>
      <c r="D108" s="25"/>
      <c r="E108" s="25"/>
      <c r="F108" s="25"/>
      <c r="G108" s="25"/>
      <c r="H108" s="25"/>
      <c r="I108" s="25"/>
      <c r="J108" s="25"/>
      <c r="K108" s="25"/>
      <c r="L108" s="34">
        <v>-1173</v>
      </c>
      <c r="M108" s="34"/>
      <c r="N108" s="52"/>
      <c r="O108" s="25"/>
      <c r="P108" s="5"/>
    </row>
    <row r="109" spans="1:17" ht="15.6" x14ac:dyDescent="0.3">
      <c r="A109" s="24"/>
      <c r="B109" s="25" t="s">
        <v>200</v>
      </c>
      <c r="C109" s="25"/>
      <c r="D109" s="25"/>
      <c r="E109" s="25"/>
      <c r="F109" s="25"/>
      <c r="G109" s="25"/>
      <c r="H109" s="25"/>
      <c r="I109" s="25"/>
      <c r="J109" s="25"/>
      <c r="K109" s="25"/>
      <c r="L109" s="34">
        <v>-12861</v>
      </c>
      <c r="M109" s="34"/>
      <c r="N109" s="52"/>
      <c r="O109" s="25"/>
      <c r="P109" s="5"/>
    </row>
    <row r="110" spans="1:17" ht="15.6" x14ac:dyDescent="0.3">
      <c r="A110" s="24"/>
      <c r="B110" s="25" t="s">
        <v>201</v>
      </c>
      <c r="C110" s="25"/>
      <c r="D110" s="25"/>
      <c r="E110" s="25"/>
      <c r="F110" s="25"/>
      <c r="G110" s="25"/>
      <c r="H110" s="25"/>
      <c r="I110" s="25"/>
      <c r="J110" s="25"/>
      <c r="K110" s="25"/>
      <c r="L110" s="34">
        <v>0</v>
      </c>
      <c r="M110" s="34"/>
      <c r="N110" s="52"/>
      <c r="O110" s="25"/>
      <c r="P110" s="5"/>
    </row>
    <row r="111" spans="1:17" ht="15.6" x14ac:dyDescent="0.3">
      <c r="A111" s="24"/>
      <c r="B111" s="25" t="s">
        <v>202</v>
      </c>
      <c r="C111" s="25"/>
      <c r="D111" s="25"/>
      <c r="E111" s="25"/>
      <c r="F111" s="25"/>
      <c r="G111" s="25"/>
      <c r="H111" s="25"/>
      <c r="I111" s="25"/>
      <c r="J111" s="25"/>
      <c r="K111" s="25"/>
      <c r="L111" s="34">
        <v>0</v>
      </c>
      <c r="M111" s="34"/>
      <c r="N111" s="52"/>
      <c r="O111" s="25"/>
      <c r="P111" s="5"/>
    </row>
    <row r="112" spans="1:17" ht="15.6" x14ac:dyDescent="0.3">
      <c r="A112" s="24"/>
      <c r="B112" s="25" t="s">
        <v>36</v>
      </c>
      <c r="C112" s="25"/>
      <c r="D112" s="25"/>
      <c r="E112" s="25"/>
      <c r="F112" s="25"/>
      <c r="G112" s="25"/>
      <c r="H112" s="25"/>
      <c r="I112" s="25"/>
      <c r="J112" s="25"/>
      <c r="K112" s="25"/>
      <c r="L112" s="34">
        <f>SUM(L107:L111)</f>
        <v>-14034</v>
      </c>
      <c r="M112" s="34"/>
      <c r="N112" s="34">
        <f>SUM(N89:N110)</f>
        <v>-3556</v>
      </c>
      <c r="O112" s="25"/>
      <c r="P112" s="5"/>
    </row>
    <row r="113" spans="1:17" ht="15.6" x14ac:dyDescent="0.3">
      <c r="A113" s="24"/>
      <c r="B113" s="25" t="s">
        <v>37</v>
      </c>
      <c r="C113" s="25"/>
      <c r="D113" s="25"/>
      <c r="E113" s="25"/>
      <c r="F113" s="25"/>
      <c r="G113" s="25"/>
      <c r="H113" s="25"/>
      <c r="I113" s="25"/>
      <c r="J113" s="25"/>
      <c r="K113" s="25"/>
      <c r="L113" s="34">
        <f>L88+L112+L99</f>
        <v>0</v>
      </c>
      <c r="M113" s="34"/>
      <c r="N113" s="34">
        <f>N88+N112</f>
        <v>0</v>
      </c>
      <c r="O113" s="25"/>
      <c r="P113" s="5"/>
    </row>
    <row r="114" spans="1:17" ht="15.6" x14ac:dyDescent="0.3">
      <c r="A114" s="24"/>
      <c r="B114" s="25"/>
      <c r="C114" s="25"/>
      <c r="D114" s="25"/>
      <c r="E114" s="25"/>
      <c r="F114" s="25"/>
      <c r="G114" s="25"/>
      <c r="H114" s="25"/>
      <c r="I114" s="25"/>
      <c r="J114" s="25"/>
      <c r="K114" s="25"/>
      <c r="L114" s="34"/>
      <c r="M114" s="34"/>
      <c r="N114" s="34"/>
      <c r="O114" s="25"/>
      <c r="P114" s="5"/>
    </row>
    <row r="115" spans="1:17" ht="15.6" x14ac:dyDescent="0.3">
      <c r="A115" s="6"/>
      <c r="B115" s="8"/>
      <c r="C115" s="8"/>
      <c r="D115" s="8"/>
      <c r="E115" s="8"/>
      <c r="F115" s="8"/>
      <c r="G115" s="8"/>
      <c r="H115" s="8"/>
      <c r="I115" s="8"/>
      <c r="J115" s="8"/>
      <c r="K115" s="8"/>
      <c r="L115" s="8"/>
      <c r="M115" s="8"/>
      <c r="N115" s="51"/>
      <c r="O115" s="8"/>
      <c r="P115" s="5"/>
    </row>
    <row r="116" spans="1:17" ht="18" thickBot="1" x14ac:dyDescent="0.35">
      <c r="A116" s="96"/>
      <c r="B116" s="97" t="str">
        <f>B52</f>
        <v>FF7 INVESTOR REPORT QUARTER ENDING MAY 2008</v>
      </c>
      <c r="C116" s="98"/>
      <c r="D116" s="98"/>
      <c r="E116" s="98"/>
      <c r="F116" s="98"/>
      <c r="G116" s="98"/>
      <c r="H116" s="98"/>
      <c r="I116" s="98"/>
      <c r="J116" s="98"/>
      <c r="K116" s="98"/>
      <c r="L116" s="98"/>
      <c r="M116" s="98"/>
      <c r="N116" s="101"/>
      <c r="O116" s="100"/>
      <c r="P116" s="5"/>
    </row>
    <row r="117" spans="1:17" ht="15.6" x14ac:dyDescent="0.3">
      <c r="A117" s="2"/>
      <c r="B117" s="58" t="s">
        <v>38</v>
      </c>
      <c r="C117" s="4"/>
      <c r="D117" s="4"/>
      <c r="E117" s="4"/>
      <c r="F117" s="4"/>
      <c r="G117" s="4"/>
      <c r="H117" s="4"/>
      <c r="I117" s="4"/>
      <c r="J117" s="4"/>
      <c r="K117" s="4"/>
      <c r="L117" s="4"/>
      <c r="M117" s="4"/>
      <c r="N117" s="49"/>
      <c r="O117" s="4"/>
      <c r="P117" s="5"/>
    </row>
    <row r="118" spans="1:17" ht="15.6" x14ac:dyDescent="0.3">
      <c r="A118" s="6"/>
      <c r="B118" s="21"/>
      <c r="C118" s="8"/>
      <c r="D118" s="8"/>
      <c r="E118" s="8"/>
      <c r="F118" s="8"/>
      <c r="G118" s="8"/>
      <c r="H118" s="8"/>
      <c r="I118" s="8"/>
      <c r="J118" s="8"/>
      <c r="K118" s="8"/>
      <c r="L118" s="8"/>
      <c r="M118" s="8"/>
      <c r="N118" s="51"/>
      <c r="O118" s="8"/>
      <c r="P118" s="5"/>
    </row>
    <row r="119" spans="1:17" ht="15.6" x14ac:dyDescent="0.3">
      <c r="A119" s="6"/>
      <c r="B119" s="114" t="s">
        <v>39</v>
      </c>
      <c r="C119" s="8"/>
      <c r="D119" s="8"/>
      <c r="E119" s="8"/>
      <c r="F119" s="8"/>
      <c r="G119" s="8"/>
      <c r="H119" s="8"/>
      <c r="I119" s="8"/>
      <c r="J119" s="8"/>
      <c r="K119" s="8"/>
      <c r="L119" s="8"/>
      <c r="M119" s="8"/>
      <c r="N119" s="51"/>
      <c r="O119" s="8"/>
      <c r="P119" s="5"/>
    </row>
    <row r="120" spans="1:17" ht="15.6" x14ac:dyDescent="0.3">
      <c r="A120" s="24"/>
      <c r="B120" s="25" t="s">
        <v>40</v>
      </c>
      <c r="C120" s="25"/>
      <c r="D120" s="25"/>
      <c r="E120" s="25"/>
      <c r="F120" s="25"/>
      <c r="G120" s="25"/>
      <c r="H120" s="25"/>
      <c r="I120" s="25"/>
      <c r="J120" s="25"/>
      <c r="K120" s="25"/>
      <c r="L120" s="25"/>
      <c r="M120" s="25"/>
      <c r="N120" s="52">
        <f>N28*0.003</f>
        <v>805.80000000000007</v>
      </c>
      <c r="O120" s="25"/>
      <c r="P120" s="5"/>
    </row>
    <row r="121" spans="1:17" ht="15.6" x14ac:dyDescent="0.3">
      <c r="A121" s="24"/>
      <c r="B121" s="25" t="s">
        <v>41</v>
      </c>
      <c r="C121" s="25"/>
      <c r="D121" s="25"/>
      <c r="E121" s="25"/>
      <c r="F121" s="25"/>
      <c r="G121" s="25"/>
      <c r="H121" s="25"/>
      <c r="I121" s="25"/>
      <c r="J121" s="25"/>
      <c r="K121" s="25"/>
      <c r="L121" s="25"/>
      <c r="M121" s="25"/>
      <c r="N121" s="52">
        <v>806</v>
      </c>
      <c r="O121" s="25"/>
      <c r="P121" s="5"/>
    </row>
    <row r="122" spans="1:17" ht="15.6" x14ac:dyDescent="0.3">
      <c r="A122" s="24"/>
      <c r="B122" s="25" t="s">
        <v>132</v>
      </c>
      <c r="C122" s="25"/>
      <c r="D122" s="25"/>
      <c r="E122" s="25"/>
      <c r="F122" s="25"/>
      <c r="G122" s="25"/>
      <c r="H122" s="25"/>
      <c r="I122" s="25"/>
      <c r="J122" s="25"/>
      <c r="K122" s="25"/>
      <c r="L122" s="25"/>
      <c r="M122" s="25"/>
      <c r="N122" s="52">
        <v>0</v>
      </c>
      <c r="O122" s="25"/>
      <c r="P122" s="5"/>
    </row>
    <row r="123" spans="1:17" ht="15.6" x14ac:dyDescent="0.3">
      <c r="A123" s="24"/>
      <c r="B123" s="25" t="s">
        <v>221</v>
      </c>
      <c r="C123" s="25"/>
      <c r="D123" s="25"/>
      <c r="E123" s="25"/>
      <c r="F123" s="25"/>
      <c r="G123" s="25"/>
      <c r="H123" s="25"/>
      <c r="I123" s="25"/>
      <c r="J123" s="25"/>
      <c r="K123" s="25"/>
      <c r="L123" s="25"/>
      <c r="M123" s="25"/>
      <c r="N123" s="52">
        <v>0</v>
      </c>
      <c r="O123" s="25"/>
      <c r="P123" s="5"/>
    </row>
    <row r="124" spans="1:17" ht="15.6" x14ac:dyDescent="0.3">
      <c r="A124" s="24"/>
      <c r="B124" s="25" t="s">
        <v>222</v>
      </c>
      <c r="C124" s="25"/>
      <c r="D124" s="25"/>
      <c r="E124" s="25"/>
      <c r="F124" s="25"/>
      <c r="G124" s="25"/>
      <c r="H124" s="25"/>
      <c r="I124" s="25"/>
      <c r="J124" s="25"/>
      <c r="K124" s="25"/>
      <c r="L124" s="25"/>
      <c r="M124" s="25"/>
      <c r="N124" s="52">
        <v>0</v>
      </c>
      <c r="O124" s="25"/>
      <c r="P124" s="5"/>
    </row>
    <row r="125" spans="1:17" ht="15.6" x14ac:dyDescent="0.3">
      <c r="A125" s="24"/>
      <c r="B125" s="25" t="s">
        <v>223</v>
      </c>
      <c r="C125" s="25"/>
      <c r="D125" s="25"/>
      <c r="E125" s="25"/>
      <c r="F125" s="25"/>
      <c r="G125" s="25"/>
      <c r="H125" s="25"/>
      <c r="I125" s="25"/>
      <c r="J125" s="25"/>
      <c r="K125" s="25"/>
      <c r="L125" s="25"/>
      <c r="M125" s="25"/>
      <c r="N125" s="52">
        <v>0</v>
      </c>
      <c r="O125" s="25"/>
      <c r="P125" s="5"/>
    </row>
    <row r="126" spans="1:17" ht="15.6" x14ac:dyDescent="0.3">
      <c r="A126" s="24"/>
      <c r="B126" s="25" t="s">
        <v>42</v>
      </c>
      <c r="C126" s="25"/>
      <c r="D126" s="25"/>
      <c r="E126" s="25"/>
      <c r="F126" s="25"/>
      <c r="G126" s="25"/>
      <c r="H126" s="25"/>
      <c r="I126" s="25"/>
      <c r="J126" s="25"/>
      <c r="K126" s="25"/>
      <c r="L126" s="25"/>
      <c r="M126" s="25"/>
      <c r="N126" s="52">
        <v>0</v>
      </c>
      <c r="O126" s="25"/>
      <c r="P126" s="5"/>
    </row>
    <row r="127" spans="1:17" ht="15.6" x14ac:dyDescent="0.3">
      <c r="A127" s="24"/>
      <c r="B127" s="25" t="s">
        <v>125</v>
      </c>
      <c r="C127" s="25"/>
      <c r="D127" s="25"/>
      <c r="E127" s="25"/>
      <c r="F127" s="25"/>
      <c r="G127" s="25"/>
      <c r="H127" s="25"/>
      <c r="I127" s="25"/>
      <c r="J127" s="25"/>
      <c r="K127" s="25"/>
      <c r="L127" s="25"/>
      <c r="M127" s="25"/>
      <c r="N127" s="52">
        <v>0</v>
      </c>
      <c r="O127" s="25"/>
      <c r="P127" s="5"/>
    </row>
    <row r="128" spans="1:17" ht="15.6" x14ac:dyDescent="0.3">
      <c r="A128" s="24"/>
      <c r="B128" s="25" t="s">
        <v>225</v>
      </c>
      <c r="C128" s="25"/>
      <c r="D128" s="25"/>
      <c r="E128" s="25"/>
      <c r="F128" s="25"/>
      <c r="G128" s="25"/>
      <c r="H128" s="25"/>
      <c r="I128" s="25"/>
      <c r="J128" s="25"/>
      <c r="K128" s="25"/>
      <c r="L128" s="25"/>
      <c r="M128" s="25"/>
      <c r="N128" s="52">
        <v>0</v>
      </c>
      <c r="O128" s="25"/>
      <c r="P128" s="5"/>
      <c r="Q128" s="104"/>
    </row>
    <row r="129" spans="1:16" ht="15.6" x14ac:dyDescent="0.3">
      <c r="A129" s="24"/>
      <c r="B129" s="25" t="s">
        <v>43</v>
      </c>
      <c r="C129" s="25"/>
      <c r="D129" s="25"/>
      <c r="E129" s="25"/>
      <c r="F129" s="25"/>
      <c r="G129" s="25"/>
      <c r="H129" s="25"/>
      <c r="I129" s="25"/>
      <c r="J129" s="25"/>
      <c r="K129" s="25"/>
      <c r="L129" s="25"/>
      <c r="M129" s="25"/>
      <c r="N129" s="52">
        <f>SUM(N121:N128)</f>
        <v>806</v>
      </c>
      <c r="O129" s="25"/>
      <c r="P129" s="5"/>
    </row>
    <row r="130" spans="1:16" ht="15.6" x14ac:dyDescent="0.3">
      <c r="A130" s="24"/>
      <c r="B130" s="25"/>
      <c r="C130" s="25"/>
      <c r="D130" s="25"/>
      <c r="E130" s="25"/>
      <c r="F130" s="25"/>
      <c r="G130" s="25"/>
      <c r="H130" s="25"/>
      <c r="I130" s="25"/>
      <c r="J130" s="25"/>
      <c r="K130" s="25"/>
      <c r="L130" s="25"/>
      <c r="M130" s="25"/>
      <c r="N130" s="52"/>
      <c r="O130" s="25"/>
      <c r="P130" s="5"/>
    </row>
    <row r="131" spans="1:16" ht="15.6" x14ac:dyDescent="0.3">
      <c r="A131" s="24"/>
      <c r="B131" s="130" t="s">
        <v>179</v>
      </c>
      <c r="C131" s="25"/>
      <c r="D131" s="25"/>
      <c r="E131" s="25"/>
      <c r="F131" s="25"/>
      <c r="G131" s="25"/>
      <c r="H131" s="25"/>
      <c r="I131" s="25"/>
      <c r="J131" s="25"/>
      <c r="K131" s="25"/>
      <c r="L131" s="25"/>
      <c r="M131" s="25"/>
      <c r="N131" s="52"/>
      <c r="O131" s="25"/>
      <c r="P131" s="5"/>
    </row>
    <row r="132" spans="1:16" ht="15.6" x14ac:dyDescent="0.3">
      <c r="A132" s="24"/>
      <c r="B132" s="25" t="s">
        <v>144</v>
      </c>
      <c r="C132" s="25"/>
      <c r="D132" s="25"/>
      <c r="E132" s="25"/>
      <c r="F132" s="25"/>
      <c r="G132" s="25"/>
      <c r="H132" s="25"/>
      <c r="I132" s="25"/>
      <c r="J132" s="25"/>
      <c r="K132" s="25"/>
      <c r="L132" s="25"/>
      <c r="M132" s="25"/>
      <c r="N132" s="52">
        <v>7098</v>
      </c>
      <c r="O132" s="25"/>
      <c r="P132" s="5"/>
    </row>
    <row r="133" spans="1:16" ht="15.6" x14ac:dyDescent="0.3">
      <c r="A133" s="24"/>
      <c r="B133" s="25" t="s">
        <v>159</v>
      </c>
      <c r="C133" s="25"/>
      <c r="D133" s="25"/>
      <c r="E133" s="25"/>
      <c r="F133" s="25"/>
      <c r="G133" s="25"/>
      <c r="H133" s="25"/>
      <c r="I133" s="25"/>
      <c r="J133" s="25"/>
      <c r="K133" s="25"/>
      <c r="L133" s="25"/>
      <c r="M133" s="25"/>
      <c r="N133" s="52">
        <v>0</v>
      </c>
      <c r="O133" s="25"/>
      <c r="P133" s="5"/>
    </row>
    <row r="134" spans="1:16" ht="15.6" x14ac:dyDescent="0.3">
      <c r="A134" s="24"/>
      <c r="B134" s="25" t="s">
        <v>183</v>
      </c>
      <c r="C134" s="25"/>
      <c r="D134" s="25"/>
      <c r="E134" s="25"/>
      <c r="F134" s="25"/>
      <c r="G134" s="25"/>
      <c r="H134" s="25"/>
      <c r="I134" s="25"/>
      <c r="J134" s="25"/>
      <c r="K134" s="25"/>
      <c r="L134" s="25"/>
      <c r="M134" s="25"/>
      <c r="N134" s="52">
        <v>4767</v>
      </c>
      <c r="O134" s="25"/>
      <c r="P134" s="5"/>
    </row>
    <row r="135" spans="1:16" ht="15.6" x14ac:dyDescent="0.3">
      <c r="A135" s="24"/>
      <c r="B135" s="25"/>
      <c r="C135" s="25"/>
      <c r="D135" s="25"/>
      <c r="E135" s="25"/>
      <c r="F135" s="25"/>
      <c r="G135" s="25"/>
      <c r="H135" s="25"/>
      <c r="I135" s="25"/>
      <c r="J135" s="25"/>
      <c r="K135" s="25"/>
      <c r="L135" s="25"/>
      <c r="M135" s="25"/>
      <c r="N135" s="52"/>
      <c r="O135" s="25"/>
      <c r="P135" s="5"/>
    </row>
    <row r="136" spans="1:16" ht="15.6" x14ac:dyDescent="0.3">
      <c r="A136" s="24"/>
      <c r="B136" s="25"/>
      <c r="C136" s="25"/>
      <c r="D136" s="25"/>
      <c r="E136" s="25"/>
      <c r="F136" s="25"/>
      <c r="G136" s="25"/>
      <c r="H136" s="25"/>
      <c r="I136" s="25"/>
      <c r="J136" s="25"/>
      <c r="K136" s="25"/>
      <c r="L136" s="25"/>
      <c r="M136" s="25"/>
      <c r="N136" s="59"/>
      <c r="O136" s="25"/>
      <c r="P136" s="5"/>
    </row>
    <row r="137" spans="1:16" ht="15.6" x14ac:dyDescent="0.3">
      <c r="A137" s="6"/>
      <c r="B137" s="114" t="s">
        <v>22</v>
      </c>
      <c r="C137" s="8"/>
      <c r="D137" s="8"/>
      <c r="E137" s="8"/>
      <c r="F137" s="8"/>
      <c r="G137" s="8"/>
      <c r="H137" s="8"/>
      <c r="I137" s="8"/>
      <c r="J137" s="8"/>
      <c r="K137" s="8"/>
      <c r="L137" s="8"/>
      <c r="M137" s="8"/>
      <c r="N137" s="51"/>
      <c r="O137" s="8"/>
      <c r="P137" s="5"/>
    </row>
    <row r="138" spans="1:16" ht="15.6" x14ac:dyDescent="0.3">
      <c r="A138" s="24"/>
      <c r="B138" s="25" t="s">
        <v>44</v>
      </c>
      <c r="C138" s="25"/>
      <c r="D138" s="25"/>
      <c r="E138" s="25"/>
      <c r="F138" s="25"/>
      <c r="G138" s="25"/>
      <c r="H138" s="25"/>
      <c r="I138" s="25"/>
      <c r="J138" s="25"/>
      <c r="K138" s="25"/>
      <c r="L138" s="25"/>
      <c r="M138" s="25"/>
      <c r="N138" s="57" t="s">
        <v>117</v>
      </c>
      <c r="O138" s="25"/>
      <c r="P138" s="5"/>
    </row>
    <row r="139" spans="1:16" ht="15.6" x14ac:dyDescent="0.3">
      <c r="A139" s="24"/>
      <c r="B139" s="25" t="s">
        <v>45</v>
      </c>
      <c r="C139" s="175"/>
      <c r="D139" s="175"/>
      <c r="E139" s="175"/>
      <c r="F139" s="175"/>
      <c r="G139" s="175"/>
      <c r="H139" s="175"/>
      <c r="I139" s="175"/>
      <c r="J139" s="175"/>
      <c r="K139" s="175"/>
      <c r="L139" s="175"/>
      <c r="M139" s="175"/>
      <c r="N139" s="57" t="s">
        <v>117</v>
      </c>
      <c r="O139" s="25"/>
      <c r="P139" s="5"/>
    </row>
    <row r="140" spans="1:16" ht="15.6" x14ac:dyDescent="0.3">
      <c r="A140" s="24"/>
      <c r="B140" s="25" t="s">
        <v>46</v>
      </c>
      <c r="C140" s="25"/>
      <c r="D140" s="25"/>
      <c r="E140" s="25"/>
      <c r="F140" s="25"/>
      <c r="G140" s="25"/>
      <c r="H140" s="25"/>
      <c r="I140" s="25"/>
      <c r="J140" s="25"/>
      <c r="K140" s="25"/>
      <c r="L140" s="25"/>
      <c r="M140" s="25"/>
      <c r="N140" s="57" t="s">
        <v>117</v>
      </c>
      <c r="O140" s="25"/>
      <c r="P140" s="5"/>
    </row>
    <row r="141" spans="1:16" ht="15.6" x14ac:dyDescent="0.3">
      <c r="A141" s="24"/>
      <c r="B141" s="25" t="s">
        <v>47</v>
      </c>
      <c r="C141" s="25"/>
      <c r="D141" s="25"/>
      <c r="E141" s="25"/>
      <c r="F141" s="25"/>
      <c r="G141" s="25"/>
      <c r="H141" s="25"/>
      <c r="I141" s="25"/>
      <c r="J141" s="25"/>
      <c r="K141" s="25"/>
      <c r="L141" s="25"/>
      <c r="M141" s="25"/>
      <c r="N141" s="57" t="s">
        <v>117</v>
      </c>
      <c r="O141" s="25"/>
      <c r="P141" s="5"/>
    </row>
    <row r="142" spans="1:16" ht="15.6" x14ac:dyDescent="0.3">
      <c r="A142" s="24"/>
      <c r="B142" s="25"/>
      <c r="C142" s="25"/>
      <c r="D142" s="25"/>
      <c r="E142" s="25"/>
      <c r="F142" s="25"/>
      <c r="G142" s="25"/>
      <c r="H142" s="25"/>
      <c r="I142" s="25"/>
      <c r="J142" s="25"/>
      <c r="K142" s="25"/>
      <c r="L142" s="25"/>
      <c r="M142" s="25"/>
      <c r="N142" s="59"/>
      <c r="O142" s="25"/>
      <c r="P142" s="5"/>
    </row>
    <row r="143" spans="1:16" ht="15.6" x14ac:dyDescent="0.3">
      <c r="A143" s="6"/>
      <c r="B143" s="114" t="s">
        <v>48</v>
      </c>
      <c r="C143" s="8"/>
      <c r="D143" s="8"/>
      <c r="E143" s="8"/>
      <c r="F143" s="8"/>
      <c r="G143" s="8"/>
      <c r="H143" s="8"/>
      <c r="I143" s="8"/>
      <c r="J143" s="8"/>
      <c r="K143" s="8"/>
      <c r="L143" s="8"/>
      <c r="M143" s="8"/>
      <c r="N143" s="61"/>
      <c r="O143" s="8"/>
      <c r="P143" s="5"/>
    </row>
    <row r="144" spans="1:16" ht="15.6" x14ac:dyDescent="0.3">
      <c r="A144" s="24"/>
      <c r="B144" s="25" t="s">
        <v>49</v>
      </c>
      <c r="C144" s="25"/>
      <c r="D144" s="25"/>
      <c r="E144" s="25"/>
      <c r="F144" s="25"/>
      <c r="G144" s="25"/>
      <c r="H144" s="25"/>
      <c r="I144" s="25"/>
      <c r="J144" s="25"/>
      <c r="K144" s="25"/>
      <c r="L144" s="25"/>
      <c r="M144" s="25"/>
      <c r="N144" s="52">
        <v>0</v>
      </c>
      <c r="O144" s="25"/>
      <c r="P144" s="5"/>
    </row>
    <row r="145" spans="1:256" ht="15.6" x14ac:dyDescent="0.3">
      <c r="A145" s="24"/>
      <c r="B145" s="25" t="s">
        <v>50</v>
      </c>
      <c r="C145" s="25"/>
      <c r="D145" s="25"/>
      <c r="E145" s="25"/>
      <c r="F145" s="25"/>
      <c r="G145" s="25"/>
      <c r="H145" s="25"/>
      <c r="I145" s="25"/>
      <c r="J145" s="25"/>
      <c r="K145" s="25"/>
      <c r="L145" s="25"/>
      <c r="M145" s="25"/>
      <c r="N145" s="52">
        <f>L99</f>
        <v>-2</v>
      </c>
      <c r="O145" s="25"/>
      <c r="P145" s="5"/>
    </row>
    <row r="146" spans="1:256" ht="15.6" x14ac:dyDescent="0.3">
      <c r="A146" s="24"/>
      <c r="B146" s="25" t="s">
        <v>51</v>
      </c>
      <c r="C146" s="25"/>
      <c r="D146" s="25"/>
      <c r="E146" s="25"/>
      <c r="F146" s="25"/>
      <c r="G146" s="25"/>
      <c r="H146" s="25"/>
      <c r="I146" s="25"/>
      <c r="J146" s="25"/>
      <c r="K146" s="25"/>
      <c r="L146" s="25"/>
      <c r="M146" s="25"/>
      <c r="N146" s="52">
        <f>N145+N144</f>
        <v>-2</v>
      </c>
      <c r="O146" s="25"/>
      <c r="P146" s="5"/>
    </row>
    <row r="147" spans="1:256" ht="15.6" x14ac:dyDescent="0.3">
      <c r="A147" s="24"/>
      <c r="B147" s="25" t="s">
        <v>264</v>
      </c>
      <c r="C147" s="25"/>
      <c r="D147" s="25"/>
      <c r="E147" s="25"/>
      <c r="F147" s="25"/>
      <c r="G147" s="25"/>
      <c r="H147" s="25"/>
      <c r="I147" s="25"/>
      <c r="J147" s="25"/>
      <c r="K147" s="25"/>
      <c r="L147" s="25"/>
      <c r="M147" s="25"/>
      <c r="N147" s="52">
        <f>N99</f>
        <v>2</v>
      </c>
      <c r="O147" s="25"/>
      <c r="P147" s="5"/>
    </row>
    <row r="148" spans="1:256" ht="15.6" x14ac:dyDescent="0.3">
      <c r="A148" s="24"/>
      <c r="B148" s="25" t="s">
        <v>52</v>
      </c>
      <c r="C148" s="25"/>
      <c r="D148" s="25"/>
      <c r="E148" s="25"/>
      <c r="F148" s="25"/>
      <c r="G148" s="25"/>
      <c r="H148" s="25"/>
      <c r="I148" s="25"/>
      <c r="J148" s="25"/>
      <c r="K148" s="25"/>
      <c r="L148" s="25"/>
      <c r="M148" s="25"/>
      <c r="N148" s="52">
        <f>N146+N147</f>
        <v>0</v>
      </c>
      <c r="O148" s="25"/>
      <c r="P148" s="5"/>
    </row>
    <row r="149" spans="1:256" ht="16.2" thickBot="1" x14ac:dyDescent="0.35">
      <c r="A149" s="24"/>
      <c r="B149" s="25"/>
      <c r="C149" s="25"/>
      <c r="D149" s="25"/>
      <c r="E149" s="25"/>
      <c r="F149" s="25"/>
      <c r="G149" s="25"/>
      <c r="H149" s="25"/>
      <c r="I149" s="25"/>
      <c r="J149" s="25"/>
      <c r="K149" s="25"/>
      <c r="L149" s="25"/>
      <c r="M149" s="25"/>
      <c r="N149" s="59"/>
      <c r="O149" s="25"/>
      <c r="P149" s="5"/>
    </row>
    <row r="150" spans="1:256" ht="15.6" x14ac:dyDescent="0.3">
      <c r="A150" s="2"/>
      <c r="B150" s="4"/>
      <c r="C150" s="4"/>
      <c r="D150" s="4"/>
      <c r="E150" s="4"/>
      <c r="F150" s="4"/>
      <c r="G150" s="4"/>
      <c r="H150" s="4"/>
      <c r="I150" s="4"/>
      <c r="J150" s="4"/>
      <c r="K150" s="4"/>
      <c r="L150" s="4"/>
      <c r="M150" s="4"/>
      <c r="N150" s="49"/>
      <c r="O150" s="4"/>
      <c r="P150" s="5"/>
    </row>
    <row r="151" spans="1:256" ht="15.6" x14ac:dyDescent="0.3">
      <c r="A151" s="6"/>
      <c r="B151" s="114" t="s">
        <v>53</v>
      </c>
      <c r="C151" s="8"/>
      <c r="D151" s="8"/>
      <c r="E151" s="8"/>
      <c r="F151" s="8"/>
      <c r="G151" s="8"/>
      <c r="H151" s="8"/>
      <c r="I151" s="8"/>
      <c r="J151" s="8"/>
      <c r="K151" s="8"/>
      <c r="L151" s="8"/>
      <c r="M151" s="8"/>
      <c r="N151" s="51"/>
      <c r="O151" s="8"/>
      <c r="P151" s="5"/>
    </row>
    <row r="152" spans="1:256" ht="15.6" x14ac:dyDescent="0.3">
      <c r="A152" s="6"/>
      <c r="B152" s="21"/>
      <c r="C152" s="8"/>
      <c r="D152" s="8"/>
      <c r="E152" s="8"/>
      <c r="F152" s="8"/>
      <c r="G152" s="8"/>
      <c r="H152" s="8"/>
      <c r="I152" s="8"/>
      <c r="J152" s="8"/>
      <c r="K152" s="8"/>
      <c r="L152" s="8"/>
      <c r="M152" s="8"/>
      <c r="N152" s="51"/>
      <c r="O152" s="8"/>
      <c r="P152" s="5"/>
    </row>
    <row r="153" spans="1:256" ht="15.6" x14ac:dyDescent="0.3">
      <c r="A153" s="24"/>
      <c r="B153" s="25" t="s">
        <v>234</v>
      </c>
      <c r="C153" s="25"/>
      <c r="D153" s="25"/>
      <c r="E153" s="25"/>
      <c r="F153" s="25"/>
      <c r="G153" s="25"/>
      <c r="H153" s="25"/>
      <c r="I153" s="25"/>
      <c r="J153" s="25"/>
      <c r="K153" s="25"/>
      <c r="L153" s="25"/>
      <c r="M153" s="25"/>
      <c r="N153" s="52">
        <f>N57</f>
        <v>170729</v>
      </c>
      <c r="O153" s="25"/>
      <c r="P153" s="5"/>
      <c r="Q153" s="104"/>
    </row>
    <row r="154" spans="1:256" ht="15.6" x14ac:dyDescent="0.3">
      <c r="A154" s="24"/>
      <c r="B154" s="25" t="s">
        <v>54</v>
      </c>
      <c r="C154" s="25"/>
      <c r="D154" s="25"/>
      <c r="E154" s="25"/>
      <c r="F154" s="25"/>
      <c r="G154" s="25"/>
      <c r="H154" s="25"/>
      <c r="I154" s="25"/>
      <c r="J154" s="25"/>
      <c r="K154" s="25"/>
      <c r="L154" s="25"/>
      <c r="M154" s="25"/>
      <c r="N154" s="52">
        <f>N73</f>
        <v>170729</v>
      </c>
      <c r="O154" s="25"/>
      <c r="P154" s="5"/>
    </row>
    <row r="155" spans="1:256" ht="16.2" thickBot="1" x14ac:dyDescent="0.35">
      <c r="A155" s="24"/>
      <c r="B155" s="25"/>
      <c r="C155" s="25"/>
      <c r="D155" s="25"/>
      <c r="E155" s="25"/>
      <c r="F155" s="25"/>
      <c r="G155" s="25"/>
      <c r="H155" s="25"/>
      <c r="I155" s="25"/>
      <c r="J155" s="25"/>
      <c r="K155" s="25"/>
      <c r="L155" s="25"/>
      <c r="M155" s="25"/>
      <c r="N155" s="59"/>
      <c r="O155" s="25"/>
      <c r="P155" s="5"/>
    </row>
    <row r="156" spans="1:256" s="150" customFormat="1" ht="15.6" x14ac:dyDescent="0.3">
      <c r="A156" s="2"/>
      <c r="B156" s="4"/>
      <c r="C156" s="4"/>
      <c r="D156" s="4"/>
      <c r="E156" s="4"/>
      <c r="F156" s="4"/>
      <c r="G156" s="4"/>
      <c r="H156" s="4"/>
      <c r="I156" s="4"/>
      <c r="J156" s="4"/>
      <c r="K156" s="4"/>
      <c r="L156" s="4"/>
      <c r="M156" s="4"/>
      <c r="N156" s="49"/>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s="153" customFormat="1" ht="15.6" x14ac:dyDescent="0.3">
      <c r="A157" s="6"/>
      <c r="B157" s="160" t="s">
        <v>205</v>
      </c>
      <c r="C157" s="151"/>
      <c r="D157" s="151"/>
      <c r="E157" s="151"/>
      <c r="F157" s="151"/>
      <c r="G157" s="151"/>
      <c r="H157" s="151"/>
      <c r="I157" s="151"/>
      <c r="J157" s="151"/>
      <c r="K157" s="151"/>
      <c r="L157" s="151"/>
      <c r="M157" s="151"/>
      <c r="N157" s="152"/>
      <c r="O157" s="151"/>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ht="16.2" thickBot="1" x14ac:dyDescent="0.35">
      <c r="A158" s="6"/>
      <c r="B158" s="151"/>
      <c r="C158" s="151"/>
      <c r="D158" s="151"/>
      <c r="E158" s="151"/>
      <c r="F158" s="151"/>
      <c r="G158" s="151"/>
      <c r="H158" s="151"/>
      <c r="I158" s="151"/>
      <c r="J158" s="151"/>
      <c r="K158" s="151"/>
      <c r="L158" s="151"/>
      <c r="M158" s="151"/>
      <c r="N158" s="152"/>
      <c r="O158" s="151"/>
      <c r="P158" s="5"/>
    </row>
    <row r="159" spans="1:256" s="156" customFormat="1" ht="15.6" x14ac:dyDescent="0.3">
      <c r="A159" s="2"/>
      <c r="B159" s="4" t="s">
        <v>206</v>
      </c>
      <c r="C159" s="4"/>
      <c r="D159" s="4"/>
      <c r="E159" s="4"/>
      <c r="F159" s="4"/>
      <c r="G159" s="4"/>
      <c r="H159" s="4"/>
      <c r="I159" s="4"/>
      <c r="J159" s="4"/>
      <c r="K159" s="4"/>
      <c r="L159" s="4"/>
      <c r="M159" s="4"/>
      <c r="N159" s="185">
        <f>+'February 08'!N162</f>
        <v>602</v>
      </c>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53" customFormat="1" ht="15.6" x14ac:dyDescent="0.3">
      <c r="A160" s="181"/>
      <c r="B160" s="182" t="s">
        <v>207</v>
      </c>
      <c r="C160" s="182"/>
      <c r="D160" s="182"/>
      <c r="E160" s="182"/>
      <c r="F160" s="182"/>
      <c r="G160" s="182"/>
      <c r="H160" s="182"/>
      <c r="I160" s="182"/>
      <c r="J160" s="182"/>
      <c r="K160" s="182"/>
      <c r="L160" s="182"/>
      <c r="M160" s="182"/>
      <c r="N160" s="183">
        <f>+H58</f>
        <v>40</v>
      </c>
      <c r="O160" s="18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63" customFormat="1" ht="15.6" x14ac:dyDescent="0.3">
      <c r="A161" s="181"/>
      <c r="B161" s="182" t="s">
        <v>208</v>
      </c>
      <c r="C161" s="182"/>
      <c r="D161" s="182"/>
      <c r="E161" s="182"/>
      <c r="F161" s="182"/>
      <c r="G161" s="182"/>
      <c r="H161" s="182"/>
      <c r="I161" s="182"/>
      <c r="J161" s="182"/>
      <c r="K161" s="182"/>
      <c r="L161" s="182"/>
      <c r="M161" s="182"/>
      <c r="N161" s="183">
        <v>0</v>
      </c>
      <c r="O161" s="18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5.6" x14ac:dyDescent="0.3">
      <c r="A162" s="181"/>
      <c r="B162" s="182" t="s">
        <v>217</v>
      </c>
      <c r="C162" s="182"/>
      <c r="D162" s="182"/>
      <c r="E162" s="182"/>
      <c r="F162" s="182"/>
      <c r="G162" s="182"/>
      <c r="H162" s="182"/>
      <c r="I162" s="182"/>
      <c r="J162" s="182"/>
      <c r="K162" s="182"/>
      <c r="L162" s="182"/>
      <c r="M162" s="182"/>
      <c r="N162" s="183">
        <f>N159-N160-N161</f>
        <v>562</v>
      </c>
      <c r="O162" s="18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59" customFormat="1" ht="16.2" thickBot="1" x14ac:dyDescent="0.35">
      <c r="A163" s="6"/>
      <c r="B163" s="151"/>
      <c r="C163" s="151"/>
      <c r="D163" s="151"/>
      <c r="E163" s="151"/>
      <c r="F163" s="151"/>
      <c r="G163" s="151"/>
      <c r="H163" s="151"/>
      <c r="I163" s="151"/>
      <c r="J163" s="151"/>
      <c r="K163" s="151"/>
      <c r="L163" s="151"/>
      <c r="M163" s="151"/>
      <c r="N163" s="165"/>
      <c r="O163" s="151"/>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s="173" customFormat="1" ht="15.6" x14ac:dyDescent="0.3">
      <c r="A164" s="168"/>
      <c r="B164" s="169"/>
      <c r="C164" s="169"/>
      <c r="D164" s="169"/>
      <c r="E164" s="169"/>
      <c r="F164" s="169"/>
      <c r="G164" s="169"/>
      <c r="H164" s="169"/>
      <c r="I164" s="169"/>
      <c r="J164" s="169"/>
      <c r="K164" s="169"/>
      <c r="L164" s="169"/>
      <c r="M164" s="169"/>
      <c r="N164" s="170"/>
      <c r="O164" s="169"/>
      <c r="P164" s="172"/>
    </row>
    <row r="165" spans="1:256" ht="15.6" x14ac:dyDescent="0.3">
      <c r="A165" s="6"/>
      <c r="B165" s="114" t="s">
        <v>55</v>
      </c>
      <c r="C165" s="112"/>
      <c r="D165" s="115"/>
      <c r="E165" s="115"/>
      <c r="F165" s="115"/>
      <c r="G165" s="115"/>
      <c r="H165" s="115"/>
      <c r="I165" s="115"/>
      <c r="J165" s="115"/>
      <c r="K165" s="115" t="s">
        <v>98</v>
      </c>
      <c r="L165" s="115" t="s">
        <v>226</v>
      </c>
      <c r="M165" s="106"/>
      <c r="N165" s="116" t="s">
        <v>114</v>
      </c>
      <c r="O165" s="10"/>
      <c r="P165" s="5"/>
    </row>
    <row r="166" spans="1:256" ht="15.6" x14ac:dyDescent="0.3">
      <c r="A166" s="24"/>
      <c r="B166" s="25" t="s">
        <v>56</v>
      </c>
      <c r="C166" s="25"/>
      <c r="D166" s="25"/>
      <c r="E166" s="25"/>
      <c r="F166" s="25"/>
      <c r="G166" s="25"/>
      <c r="H166" s="25"/>
      <c r="I166" s="25"/>
      <c r="J166" s="25"/>
      <c r="K166" s="52" t="s">
        <v>117</v>
      </c>
      <c r="L166" s="40" t="s">
        <v>117</v>
      </c>
      <c r="M166" s="25"/>
      <c r="N166" s="52"/>
      <c r="O166" s="25"/>
      <c r="P166" s="5"/>
    </row>
    <row r="167" spans="1:256" ht="15.6" x14ac:dyDescent="0.3">
      <c r="A167" s="24"/>
      <c r="B167" s="25" t="s">
        <v>57</v>
      </c>
      <c r="C167" s="25"/>
      <c r="D167" s="25"/>
      <c r="E167" s="25"/>
      <c r="F167" s="25"/>
      <c r="G167" s="25"/>
      <c r="H167" s="25"/>
      <c r="I167" s="25"/>
      <c r="J167" s="25"/>
      <c r="K167" s="52">
        <v>0</v>
      </c>
      <c r="L167" s="52">
        <f>+'February 08'!L169</f>
        <v>5365</v>
      </c>
      <c r="M167" s="25"/>
      <c r="N167" s="52">
        <f>K167+L167</f>
        <v>5365</v>
      </c>
      <c r="O167" s="25"/>
      <c r="P167" s="5"/>
    </row>
    <row r="168" spans="1:256" ht="15.6" x14ac:dyDescent="0.3">
      <c r="A168" s="24"/>
      <c r="B168" s="25" t="s">
        <v>58</v>
      </c>
      <c r="C168" s="25"/>
      <c r="D168" s="25"/>
      <c r="E168" s="25"/>
      <c r="F168" s="25"/>
      <c r="G168" s="25"/>
      <c r="H168" s="25"/>
      <c r="I168" s="25"/>
      <c r="J168" s="25"/>
      <c r="K168" s="34">
        <v>0</v>
      </c>
      <c r="L168" s="34">
        <f>-L108</f>
        <v>1173</v>
      </c>
      <c r="M168" s="25"/>
      <c r="N168" s="52">
        <f>K168+L168</f>
        <v>1173</v>
      </c>
      <c r="O168" s="25"/>
      <c r="P168" s="5"/>
    </row>
    <row r="169" spans="1:256" ht="15.6" x14ac:dyDescent="0.3">
      <c r="A169" s="24"/>
      <c r="B169" s="25" t="s">
        <v>59</v>
      </c>
      <c r="C169" s="25"/>
      <c r="D169" s="25"/>
      <c r="E169" s="25"/>
      <c r="F169" s="25"/>
      <c r="G169" s="25"/>
      <c r="H169" s="25"/>
      <c r="I169" s="25"/>
      <c r="J169" s="25"/>
      <c r="K169" s="52">
        <f>K167+K168</f>
        <v>0</v>
      </c>
      <c r="L169" s="52">
        <f>L168+L167</f>
        <v>6538</v>
      </c>
      <c r="M169" s="25"/>
      <c r="N169" s="52">
        <f>K169+L169</f>
        <v>6538</v>
      </c>
      <c r="O169" s="25"/>
      <c r="P169" s="5"/>
    </row>
    <row r="170" spans="1:256" ht="15.6" x14ac:dyDescent="0.3">
      <c r="A170" s="24"/>
      <c r="B170" s="25" t="s">
        <v>60</v>
      </c>
      <c r="C170" s="25"/>
      <c r="D170" s="25"/>
      <c r="E170" s="25"/>
      <c r="F170" s="25"/>
      <c r="G170" s="25"/>
      <c r="H170" s="25"/>
      <c r="I170" s="25"/>
      <c r="J170" s="25"/>
      <c r="K170" s="52" t="s">
        <v>117</v>
      </c>
      <c r="L170" s="40" t="s">
        <v>117</v>
      </c>
      <c r="M170" s="25"/>
      <c r="N170" s="52"/>
      <c r="O170" s="25"/>
      <c r="P170" s="5"/>
    </row>
    <row r="171" spans="1:256" ht="16.2" thickBot="1" x14ac:dyDescent="0.35">
      <c r="A171" s="24"/>
      <c r="B171" s="25"/>
      <c r="C171" s="25"/>
      <c r="D171" s="25"/>
      <c r="E171" s="25"/>
      <c r="F171" s="25"/>
      <c r="G171" s="25"/>
      <c r="H171" s="25"/>
      <c r="I171" s="25"/>
      <c r="J171" s="25"/>
      <c r="K171" s="25"/>
      <c r="L171" s="25"/>
      <c r="M171" s="25"/>
      <c r="N171" s="59"/>
      <c r="O171" s="25"/>
      <c r="P171" s="5"/>
    </row>
    <row r="172" spans="1:256" ht="15.6" x14ac:dyDescent="0.3">
      <c r="A172" s="2"/>
      <c r="B172" s="4"/>
      <c r="C172" s="4"/>
      <c r="D172" s="4"/>
      <c r="E172" s="4"/>
      <c r="F172" s="4"/>
      <c r="G172" s="4"/>
      <c r="H172" s="4"/>
      <c r="I172" s="4"/>
      <c r="J172" s="4"/>
      <c r="K172" s="4"/>
      <c r="L172" s="4"/>
      <c r="M172" s="4"/>
      <c r="N172" s="49"/>
      <c r="O172" s="4"/>
      <c r="P172" s="5"/>
    </row>
    <row r="173" spans="1:256" ht="15.6" x14ac:dyDescent="0.3">
      <c r="A173" s="6"/>
      <c r="B173" s="114" t="s">
        <v>61</v>
      </c>
      <c r="C173" s="8"/>
      <c r="D173" s="8"/>
      <c r="E173" s="8"/>
      <c r="F173" s="8"/>
      <c r="G173" s="8"/>
      <c r="H173" s="8"/>
      <c r="I173" s="8"/>
      <c r="J173" s="8"/>
      <c r="K173" s="8"/>
      <c r="L173" s="8"/>
      <c r="M173" s="8"/>
      <c r="N173" s="63"/>
      <c r="O173" s="8"/>
      <c r="P173" s="5"/>
    </row>
    <row r="174" spans="1:256" ht="15.6" x14ac:dyDescent="0.3">
      <c r="A174" s="24"/>
      <c r="B174" s="25" t="s">
        <v>62</v>
      </c>
      <c r="C174" s="25"/>
      <c r="D174" s="25"/>
      <c r="E174" s="25"/>
      <c r="F174" s="25"/>
      <c r="G174" s="25"/>
      <c r="H174" s="25"/>
      <c r="I174" s="25"/>
      <c r="J174" s="25"/>
      <c r="K174" s="25"/>
      <c r="L174" s="25"/>
      <c r="M174" s="25"/>
      <c r="N174" s="57">
        <f>(N88+N90+N91+N92+N93)/-N94</f>
        <v>1.3030075187969925</v>
      </c>
      <c r="O174" s="25" t="s">
        <v>115</v>
      </c>
      <c r="P174" s="5"/>
    </row>
    <row r="175" spans="1:256" ht="15.6" x14ac:dyDescent="0.3">
      <c r="A175" s="24"/>
      <c r="B175" s="25" t="s">
        <v>63</v>
      </c>
      <c r="C175" s="25"/>
      <c r="D175" s="25"/>
      <c r="E175" s="25"/>
      <c r="F175" s="25"/>
      <c r="G175" s="25"/>
      <c r="H175" s="25"/>
      <c r="I175" s="25"/>
      <c r="J175" s="25"/>
      <c r="K175" s="25"/>
      <c r="L175" s="25"/>
      <c r="M175" s="25"/>
      <c r="N175" s="64">
        <v>1.38</v>
      </c>
      <c r="O175" s="25" t="s">
        <v>115</v>
      </c>
      <c r="P175" s="5"/>
    </row>
    <row r="176" spans="1:256" ht="15.6" x14ac:dyDescent="0.3">
      <c r="A176" s="24"/>
      <c r="B176" s="25" t="s">
        <v>64</v>
      </c>
      <c r="C176" s="25"/>
      <c r="D176" s="25"/>
      <c r="E176" s="25"/>
      <c r="F176" s="25"/>
      <c r="G176" s="25"/>
      <c r="H176" s="25"/>
      <c r="I176" s="25"/>
      <c r="J176" s="25"/>
      <c r="K176" s="25"/>
      <c r="L176" s="25"/>
      <c r="M176" s="25"/>
      <c r="N176" s="57">
        <f>(N88+N90+N91+N92+N93+N94)/-N96</f>
        <v>13</v>
      </c>
      <c r="O176" s="25" t="s">
        <v>115</v>
      </c>
      <c r="P176" s="5"/>
    </row>
    <row r="177" spans="1:16" ht="15.6" x14ac:dyDescent="0.3">
      <c r="A177" s="24"/>
      <c r="B177" s="25" t="s">
        <v>65</v>
      </c>
      <c r="C177" s="25"/>
      <c r="D177" s="25"/>
      <c r="E177" s="25"/>
      <c r="F177" s="25"/>
      <c r="G177" s="25"/>
      <c r="H177" s="25"/>
      <c r="I177" s="25"/>
      <c r="J177" s="25"/>
      <c r="K177" s="25"/>
      <c r="L177" s="25"/>
      <c r="M177" s="25"/>
      <c r="N177" s="64">
        <v>20.100000000000001</v>
      </c>
      <c r="O177" s="25" t="s">
        <v>115</v>
      </c>
      <c r="P177" s="5"/>
    </row>
    <row r="178" spans="1:16" ht="15.6" x14ac:dyDescent="0.3">
      <c r="A178" s="24"/>
      <c r="B178" s="25" t="s">
        <v>166</v>
      </c>
      <c r="C178" s="25"/>
      <c r="D178" s="25"/>
      <c r="E178" s="25"/>
      <c r="F178" s="25"/>
      <c r="G178" s="25"/>
      <c r="H178" s="25"/>
      <c r="I178" s="25"/>
      <c r="J178" s="25"/>
      <c r="K178" s="25"/>
      <c r="L178" s="25"/>
      <c r="M178" s="25"/>
      <c r="N178" s="57">
        <f>(N88+N90+N91+N92+N93+N94+N96)/-N97</f>
        <v>11.80952380952381</v>
      </c>
      <c r="O178" s="25" t="s">
        <v>115</v>
      </c>
      <c r="P178" s="5"/>
    </row>
    <row r="179" spans="1:16" ht="15.6" x14ac:dyDescent="0.3">
      <c r="A179" s="24"/>
      <c r="B179" s="25" t="s">
        <v>167</v>
      </c>
      <c r="C179" s="25"/>
      <c r="D179" s="25"/>
      <c r="E179" s="25"/>
      <c r="F179" s="25"/>
      <c r="G179" s="25"/>
      <c r="H179" s="25"/>
      <c r="I179" s="25"/>
      <c r="J179" s="25"/>
      <c r="K179" s="25"/>
      <c r="L179" s="25"/>
      <c r="M179" s="25"/>
      <c r="N179" s="64">
        <v>18.78</v>
      </c>
      <c r="O179" s="25" t="s">
        <v>115</v>
      </c>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24"/>
      <c r="B181" s="25"/>
      <c r="C181" s="25"/>
      <c r="D181" s="25"/>
      <c r="E181" s="25"/>
      <c r="F181" s="25"/>
      <c r="G181" s="25"/>
      <c r="H181" s="25"/>
      <c r="I181" s="25"/>
      <c r="J181" s="25"/>
      <c r="K181" s="25"/>
      <c r="L181" s="25"/>
      <c r="M181" s="25"/>
      <c r="N181" s="25"/>
      <c r="O181" s="25"/>
      <c r="P181" s="5"/>
    </row>
    <row r="182" spans="1:16" ht="15.6" x14ac:dyDescent="0.3">
      <c r="A182" s="6"/>
      <c r="B182" s="8"/>
      <c r="C182" s="8"/>
      <c r="D182" s="8"/>
      <c r="E182" s="8"/>
      <c r="F182" s="8"/>
      <c r="G182" s="8"/>
      <c r="H182" s="8"/>
      <c r="I182" s="8"/>
      <c r="J182" s="8"/>
      <c r="K182" s="8"/>
      <c r="L182" s="8"/>
      <c r="M182" s="8"/>
      <c r="N182" s="8"/>
      <c r="O182" s="8"/>
      <c r="P182" s="5"/>
    </row>
    <row r="183" spans="1:16" ht="18" thickBot="1" x14ac:dyDescent="0.35">
      <c r="A183" s="96"/>
      <c r="B183" s="97" t="str">
        <f>B116</f>
        <v>FF7 INVESTOR REPORT QUARTER ENDING MAY 2008</v>
      </c>
      <c r="C183" s="177"/>
      <c r="D183" s="177"/>
      <c r="E183" s="177"/>
      <c r="F183" s="177"/>
      <c r="G183" s="177"/>
      <c r="H183" s="177"/>
      <c r="I183" s="177"/>
      <c r="J183" s="177"/>
      <c r="K183" s="177"/>
      <c r="L183" s="177"/>
      <c r="M183" s="177"/>
      <c r="N183" s="177"/>
      <c r="O183" s="178"/>
      <c r="P183" s="5"/>
    </row>
    <row r="184" spans="1:16" ht="15.6" x14ac:dyDescent="0.3">
      <c r="A184" s="65"/>
      <c r="B184" s="58" t="s">
        <v>66</v>
      </c>
      <c r="C184" s="66"/>
      <c r="D184" s="67"/>
      <c r="E184" s="67"/>
      <c r="F184" s="67"/>
      <c r="G184" s="67"/>
      <c r="H184" s="67"/>
      <c r="I184" s="67"/>
      <c r="J184" s="67"/>
      <c r="K184" s="67"/>
      <c r="L184" s="68">
        <v>39598</v>
      </c>
      <c r="M184" s="4"/>
      <c r="N184" s="4"/>
      <c r="O184" s="4"/>
      <c r="P184" s="5"/>
    </row>
    <row r="185" spans="1:16" ht="15.6" x14ac:dyDescent="0.3">
      <c r="A185" s="69"/>
      <c r="B185" s="70"/>
      <c r="C185" s="71"/>
      <c r="D185" s="72"/>
      <c r="E185" s="72"/>
      <c r="F185" s="72"/>
      <c r="G185" s="72"/>
      <c r="H185" s="72"/>
      <c r="I185" s="72"/>
      <c r="J185" s="72"/>
      <c r="K185" s="72"/>
      <c r="L185" s="72"/>
      <c r="M185" s="8"/>
      <c r="N185" s="8"/>
      <c r="O185" s="8"/>
      <c r="P185" s="5"/>
    </row>
    <row r="186" spans="1:16" ht="15.6" x14ac:dyDescent="0.3">
      <c r="A186" s="73"/>
      <c r="B186" s="74" t="s">
        <v>67</v>
      </c>
      <c r="C186" s="75"/>
      <c r="D186" s="62"/>
      <c r="E186" s="62"/>
      <c r="F186" s="62"/>
      <c r="G186" s="62"/>
      <c r="H186" s="62"/>
      <c r="I186" s="62"/>
      <c r="J186" s="62"/>
      <c r="K186" s="62"/>
      <c r="L186" s="76">
        <v>7.2950000000000001E-2</v>
      </c>
      <c r="M186" s="25"/>
      <c r="N186" s="25"/>
      <c r="O186" s="25"/>
      <c r="P186" s="5"/>
    </row>
    <row r="187" spans="1:16" ht="15.6" x14ac:dyDescent="0.3">
      <c r="A187" s="73"/>
      <c r="B187" s="74" t="s">
        <v>213</v>
      </c>
      <c r="C187" s="75"/>
      <c r="D187" s="62"/>
      <c r="E187" s="62"/>
      <c r="F187" s="62"/>
      <c r="G187" s="62"/>
      <c r="H187" s="62"/>
      <c r="I187" s="62"/>
      <c r="J187" s="62"/>
      <c r="K187" s="62"/>
      <c r="L187" s="39">
        <v>5.79E-2</v>
      </c>
      <c r="M187" s="25"/>
      <c r="N187" s="25"/>
      <c r="O187" s="25"/>
      <c r="P187" s="5"/>
    </row>
    <row r="188" spans="1:16" ht="15.6" x14ac:dyDescent="0.3">
      <c r="A188" s="73"/>
      <c r="B188" s="74" t="s">
        <v>68</v>
      </c>
      <c r="C188" s="75"/>
      <c r="D188" s="62"/>
      <c r="E188" s="62"/>
      <c r="F188" s="62"/>
      <c r="G188" s="62"/>
      <c r="H188" s="62"/>
      <c r="I188" s="62"/>
      <c r="J188" s="62"/>
      <c r="K188" s="62"/>
      <c r="L188" s="76">
        <f>L186-L187</f>
        <v>1.5050000000000001E-2</v>
      </c>
      <c r="M188" s="25"/>
      <c r="N188" s="25"/>
      <c r="O188" s="25"/>
      <c r="P188" s="5"/>
    </row>
    <row r="189" spans="1:16" ht="15.6" x14ac:dyDescent="0.3">
      <c r="A189" s="73"/>
      <c r="B189" s="74" t="s">
        <v>69</v>
      </c>
      <c r="C189" s="75"/>
      <c r="D189" s="62"/>
      <c r="E189" s="62"/>
      <c r="F189" s="62"/>
      <c r="G189" s="62"/>
      <c r="H189" s="62"/>
      <c r="I189" s="62"/>
      <c r="J189" s="62"/>
      <c r="K189" s="62"/>
      <c r="L189" s="76">
        <v>7.7829999999999996E-2</v>
      </c>
      <c r="M189" s="25"/>
      <c r="N189" s="25"/>
      <c r="O189" s="25"/>
      <c r="P189" s="5"/>
    </row>
    <row r="190" spans="1:16" ht="15.6" x14ac:dyDescent="0.3">
      <c r="A190" s="73"/>
      <c r="B190" s="74" t="s">
        <v>212</v>
      </c>
      <c r="C190" s="75"/>
      <c r="D190" s="62"/>
      <c r="E190" s="62"/>
      <c r="F190" s="62"/>
      <c r="G190" s="62"/>
      <c r="H190" s="62"/>
      <c r="I190" s="62"/>
      <c r="J190" s="62"/>
      <c r="K190" s="62"/>
      <c r="L190" s="76">
        <f>N34</f>
        <v>6.0836032125836617E-2</v>
      </c>
      <c r="M190" s="25"/>
      <c r="N190" s="25"/>
      <c r="O190" s="25"/>
      <c r="P190" s="5"/>
    </row>
    <row r="191" spans="1:16" ht="15.6" x14ac:dyDescent="0.3">
      <c r="A191" s="73"/>
      <c r="B191" s="74" t="s">
        <v>70</v>
      </c>
      <c r="C191" s="75"/>
      <c r="D191" s="62"/>
      <c r="E191" s="62"/>
      <c r="F191" s="62"/>
      <c r="G191" s="62"/>
      <c r="H191" s="62"/>
      <c r="I191" s="62"/>
      <c r="J191" s="62"/>
      <c r="K191" s="62"/>
      <c r="L191" s="76">
        <f>L189-L190</f>
        <v>1.6993967874163379E-2</v>
      </c>
      <c r="M191" s="25"/>
      <c r="N191" s="25"/>
      <c r="O191" s="25"/>
      <c r="P191" s="5"/>
    </row>
    <row r="192" spans="1:16" ht="15.6" x14ac:dyDescent="0.3">
      <c r="A192" s="73"/>
      <c r="B192" s="74" t="s">
        <v>203</v>
      </c>
      <c r="C192" s="75"/>
      <c r="D192" s="62"/>
      <c r="E192" s="62"/>
      <c r="F192" s="62"/>
      <c r="G192" s="62"/>
      <c r="H192" s="62"/>
      <c r="I192" s="62"/>
      <c r="J192" s="62"/>
      <c r="K192" s="62"/>
      <c r="L192" s="76">
        <f>+N88/F60</f>
        <v>1.9305941626129256E-2</v>
      </c>
      <c r="M192" s="25"/>
      <c r="N192" s="25"/>
      <c r="O192" s="25"/>
      <c r="P192" s="5"/>
    </row>
    <row r="193" spans="1:16" ht="15.6" x14ac:dyDescent="0.3">
      <c r="A193" s="73"/>
      <c r="B193" s="74" t="s">
        <v>171</v>
      </c>
      <c r="C193" s="75"/>
      <c r="D193" s="62"/>
      <c r="E193" s="62"/>
      <c r="F193" s="62"/>
      <c r="G193" s="62"/>
      <c r="H193" s="62"/>
      <c r="I193" s="62"/>
      <c r="J193" s="62"/>
      <c r="K193" s="62"/>
      <c r="L193" s="122">
        <v>48823</v>
      </c>
      <c r="M193" s="25"/>
      <c r="N193" s="25"/>
      <c r="O193" s="25"/>
      <c r="P193" s="5"/>
    </row>
    <row r="194" spans="1:16" ht="15.6" x14ac:dyDescent="0.3">
      <c r="A194" s="73"/>
      <c r="B194" s="74" t="s">
        <v>172</v>
      </c>
      <c r="C194" s="75"/>
      <c r="D194" s="62"/>
      <c r="E194" s="62"/>
      <c r="F194" s="62"/>
      <c r="G194" s="62"/>
      <c r="H194" s="62"/>
      <c r="I194" s="62"/>
      <c r="J194" s="62"/>
      <c r="K194" s="62"/>
      <c r="L194" s="122">
        <v>48823</v>
      </c>
      <c r="M194" s="25"/>
      <c r="N194" s="25"/>
      <c r="O194" s="25"/>
      <c r="P194" s="5"/>
    </row>
    <row r="195" spans="1:16" ht="15.6" x14ac:dyDescent="0.3">
      <c r="A195" s="73"/>
      <c r="B195" s="74" t="s">
        <v>173</v>
      </c>
      <c r="C195" s="75"/>
      <c r="D195" s="62"/>
      <c r="E195" s="62"/>
      <c r="F195" s="62"/>
      <c r="G195" s="62"/>
      <c r="H195" s="62"/>
      <c r="I195" s="62"/>
      <c r="J195" s="62"/>
      <c r="K195" s="62"/>
      <c r="L195" s="122">
        <v>48823</v>
      </c>
      <c r="M195" s="25"/>
      <c r="N195" s="25"/>
      <c r="O195" s="25"/>
      <c r="P195" s="5"/>
    </row>
    <row r="196" spans="1:16" ht="15.6" x14ac:dyDescent="0.3">
      <c r="A196" s="73"/>
      <c r="B196" s="74" t="s">
        <v>71</v>
      </c>
      <c r="C196" s="75"/>
      <c r="D196" s="62"/>
      <c r="E196" s="62"/>
      <c r="F196" s="62"/>
      <c r="G196" s="62"/>
      <c r="H196" s="62"/>
      <c r="I196" s="62"/>
      <c r="J196" s="62"/>
      <c r="K196" s="62"/>
      <c r="L196" s="126">
        <v>9.93</v>
      </c>
      <c r="M196" s="25" t="s">
        <v>110</v>
      </c>
      <c r="N196" s="25"/>
      <c r="O196" s="25"/>
      <c r="P196" s="5"/>
    </row>
    <row r="197" spans="1:16" ht="15.6" x14ac:dyDescent="0.3">
      <c r="A197" s="73"/>
      <c r="B197" s="74" t="s">
        <v>72</v>
      </c>
      <c r="C197" s="75"/>
      <c r="D197" s="62"/>
      <c r="E197" s="62"/>
      <c r="F197" s="62"/>
      <c r="G197" s="62"/>
      <c r="H197" s="62"/>
      <c r="I197" s="62"/>
      <c r="J197" s="62"/>
      <c r="K197" s="62"/>
      <c r="L197" s="126">
        <v>8.2100000000000009</v>
      </c>
      <c r="M197" s="25" t="s">
        <v>110</v>
      </c>
      <c r="N197" s="25"/>
      <c r="O197" s="25"/>
      <c r="P197" s="5"/>
    </row>
    <row r="198" spans="1:16" ht="15.6" x14ac:dyDescent="0.3">
      <c r="A198" s="73"/>
      <c r="B198" s="74" t="s">
        <v>73</v>
      </c>
      <c r="C198" s="75"/>
      <c r="D198" s="62"/>
      <c r="E198" s="62"/>
      <c r="F198" s="62"/>
      <c r="G198" s="62"/>
      <c r="H198" s="62"/>
      <c r="I198" s="62"/>
      <c r="J198" s="62"/>
      <c r="K198" s="62"/>
      <c r="L198" s="76">
        <f>+H57/F57</f>
        <v>9.0271801296366902E-2</v>
      </c>
      <c r="M198" s="25"/>
      <c r="N198" s="25"/>
      <c r="O198" s="25"/>
      <c r="P198" s="5"/>
    </row>
    <row r="199" spans="1:16" ht="15.6" x14ac:dyDescent="0.3">
      <c r="A199" s="73"/>
      <c r="B199" s="74" t="s">
        <v>74</v>
      </c>
      <c r="C199" s="75"/>
      <c r="D199" s="62"/>
      <c r="E199" s="62"/>
      <c r="F199" s="62"/>
      <c r="G199" s="62"/>
      <c r="H199" s="62"/>
      <c r="I199" s="62"/>
      <c r="J199" s="62"/>
      <c r="K199" s="62"/>
      <c r="L199" s="76">
        <v>0.3458</v>
      </c>
      <c r="M199" s="25"/>
      <c r="N199" s="25"/>
      <c r="O199" s="25"/>
      <c r="P199" s="5"/>
    </row>
    <row r="200" spans="1:16" ht="15.6" x14ac:dyDescent="0.3">
      <c r="A200" s="73"/>
      <c r="B200" s="74"/>
      <c r="C200" s="74"/>
      <c r="D200" s="25"/>
      <c r="E200" s="25"/>
      <c r="F200" s="25"/>
      <c r="G200" s="25"/>
      <c r="H200" s="25"/>
      <c r="I200" s="25"/>
      <c r="J200" s="25"/>
      <c r="K200" s="25"/>
      <c r="L200" s="59"/>
      <c r="M200" s="25"/>
      <c r="N200" s="77"/>
      <c r="O200" s="25"/>
      <c r="P200" s="5"/>
    </row>
    <row r="201" spans="1:16" ht="15.6" x14ac:dyDescent="0.3">
      <c r="A201" s="78"/>
      <c r="B201" s="14" t="s">
        <v>75</v>
      </c>
      <c r="C201" s="79"/>
      <c r="D201" s="17"/>
      <c r="E201" s="17"/>
      <c r="F201" s="17"/>
      <c r="G201" s="17"/>
      <c r="H201" s="17"/>
      <c r="I201" s="17"/>
      <c r="J201" s="17"/>
      <c r="K201" s="17" t="s">
        <v>99</v>
      </c>
      <c r="L201" s="80" t="s">
        <v>106</v>
      </c>
      <c r="M201" s="8"/>
      <c r="N201" s="8"/>
      <c r="O201" s="8"/>
      <c r="P201" s="5"/>
    </row>
    <row r="202" spans="1:16" ht="15.6" x14ac:dyDescent="0.3">
      <c r="A202" s="81"/>
      <c r="B202" s="74" t="s">
        <v>76</v>
      </c>
      <c r="C202" s="53"/>
      <c r="D202" s="30"/>
      <c r="E202" s="30"/>
      <c r="F202" s="30"/>
      <c r="G202" s="30"/>
      <c r="H202" s="30"/>
      <c r="I202" s="30"/>
      <c r="J202" s="30"/>
      <c r="K202" s="30">
        <v>14</v>
      </c>
      <c r="L202" s="82">
        <v>690</v>
      </c>
      <c r="M202" s="25"/>
      <c r="N202" s="77"/>
      <c r="O202" s="83"/>
      <c r="P202" s="5"/>
    </row>
    <row r="203" spans="1:16" ht="15.6" x14ac:dyDescent="0.3">
      <c r="A203" s="81"/>
      <c r="B203" s="74" t="s">
        <v>136</v>
      </c>
      <c r="C203" s="53"/>
      <c r="D203" s="30"/>
      <c r="E203" s="30"/>
      <c r="F203" s="30"/>
      <c r="G203" s="30"/>
      <c r="H203" s="30"/>
      <c r="I203" s="30"/>
      <c r="J203" s="30"/>
      <c r="K203" s="142">
        <f>+J253</f>
        <v>0</v>
      </c>
      <c r="L203" s="82">
        <f>+L253</f>
        <v>0</v>
      </c>
      <c r="M203" s="25"/>
      <c r="N203" s="77"/>
      <c r="O203" s="83"/>
      <c r="P203" s="5"/>
    </row>
    <row r="204" spans="1:16" ht="15.6" x14ac:dyDescent="0.3">
      <c r="A204" s="81"/>
      <c r="B204" s="74" t="s">
        <v>77</v>
      </c>
      <c r="C204" s="53"/>
      <c r="D204" s="30"/>
      <c r="E204" s="30"/>
      <c r="F204" s="30"/>
      <c r="G204" s="30"/>
      <c r="H204" s="30"/>
      <c r="I204" s="30"/>
      <c r="J204" s="30"/>
      <c r="K204" s="142">
        <f>+J270</f>
        <v>0</v>
      </c>
      <c r="L204" s="82">
        <f>+L270</f>
        <v>0</v>
      </c>
      <c r="M204" s="25"/>
      <c r="N204" s="77"/>
      <c r="O204" s="83"/>
      <c r="P204" s="5"/>
    </row>
    <row r="205" spans="1:16" ht="15.6" x14ac:dyDescent="0.3">
      <c r="A205" s="81"/>
      <c r="B205" s="117" t="s">
        <v>78</v>
      </c>
      <c r="C205" s="53"/>
      <c r="D205" s="25"/>
      <c r="E205" s="25"/>
      <c r="F205" s="25"/>
      <c r="G205" s="25"/>
      <c r="H205" s="25"/>
      <c r="I205" s="25"/>
      <c r="J205" s="25"/>
      <c r="K205" s="25"/>
      <c r="L205" s="82">
        <v>0</v>
      </c>
      <c r="M205" s="25"/>
      <c r="N205" s="77"/>
      <c r="O205" s="83"/>
      <c r="P205" s="5"/>
    </row>
    <row r="206" spans="1:16" ht="15.6" x14ac:dyDescent="0.3">
      <c r="A206" s="81"/>
      <c r="B206" s="117" t="s">
        <v>79</v>
      </c>
      <c r="C206" s="53"/>
      <c r="D206" s="25"/>
      <c r="E206" s="25"/>
      <c r="F206" s="25"/>
      <c r="G206" s="25"/>
      <c r="H206" s="25"/>
      <c r="I206" s="25"/>
      <c r="J206" s="25"/>
      <c r="K206" s="25"/>
      <c r="L206" s="60" t="s">
        <v>107</v>
      </c>
      <c r="M206" s="25"/>
      <c r="N206" s="77"/>
      <c r="O206" s="83"/>
      <c r="P206" s="5"/>
    </row>
    <row r="207" spans="1:16" ht="15.6" x14ac:dyDescent="0.3">
      <c r="A207" s="84"/>
      <c r="B207" s="117" t="s">
        <v>80</v>
      </c>
      <c r="C207" s="74"/>
      <c r="D207" s="25"/>
      <c r="E207" s="25"/>
      <c r="F207" s="25"/>
      <c r="G207" s="25"/>
      <c r="H207" s="25"/>
      <c r="I207" s="25"/>
      <c r="J207" s="25"/>
      <c r="K207" s="25"/>
      <c r="L207" s="82"/>
      <c r="M207" s="25"/>
      <c r="N207" s="77"/>
      <c r="O207" s="85"/>
      <c r="P207" s="5"/>
    </row>
    <row r="208" spans="1:16" ht="15.6" x14ac:dyDescent="0.3">
      <c r="A208" s="84"/>
      <c r="B208" s="124" t="s">
        <v>81</v>
      </c>
      <c r="C208" s="74"/>
      <c r="D208" s="25"/>
      <c r="E208" s="25"/>
      <c r="F208" s="25"/>
      <c r="G208" s="25"/>
      <c r="H208" s="25"/>
      <c r="I208" s="25"/>
      <c r="J208" s="25"/>
      <c r="K208" s="30"/>
      <c r="L208" s="82">
        <f>N145</f>
        <v>-2</v>
      </c>
      <c r="M208" s="25"/>
      <c r="N208" s="77"/>
      <c r="O208" s="85"/>
      <c r="P208" s="5"/>
    </row>
    <row r="209" spans="1:17" ht="15.6" x14ac:dyDescent="0.3">
      <c r="A209" s="81"/>
      <c r="B209" s="74" t="s">
        <v>82</v>
      </c>
      <c r="C209" s="53"/>
      <c r="D209" s="25"/>
      <c r="E209" s="25"/>
      <c r="F209" s="25"/>
      <c r="G209" s="25"/>
      <c r="H209" s="25"/>
      <c r="I209" s="25"/>
      <c r="J209" s="25"/>
      <c r="K209" s="30"/>
      <c r="L209" s="82">
        <f>'February 08'!L209+L208</f>
        <v>25</v>
      </c>
      <c r="M209" s="25"/>
      <c r="N209" s="77"/>
      <c r="O209" s="85"/>
      <c r="P209" s="5"/>
    </row>
    <row r="210" spans="1:17" ht="15.6" x14ac:dyDescent="0.3">
      <c r="A210" s="84"/>
      <c r="B210" s="117" t="s">
        <v>253</v>
      </c>
      <c r="C210" s="74"/>
      <c r="D210" s="25"/>
      <c r="E210" s="25"/>
      <c r="F210" s="25"/>
      <c r="G210" s="25"/>
      <c r="H210" s="25"/>
      <c r="I210" s="25"/>
      <c r="J210" s="25"/>
      <c r="K210" s="30"/>
      <c r="L210" s="82"/>
      <c r="M210" s="25"/>
      <c r="N210" s="77"/>
      <c r="O210" s="85"/>
      <c r="P210" s="5"/>
    </row>
    <row r="211" spans="1:17" ht="15.6" x14ac:dyDescent="0.3">
      <c r="A211" s="84"/>
      <c r="B211" s="74" t="s">
        <v>250</v>
      </c>
      <c r="C211" s="74"/>
      <c r="D211" s="25"/>
      <c r="E211" s="25"/>
      <c r="F211" s="25"/>
      <c r="G211" s="25"/>
      <c r="H211" s="25"/>
      <c r="I211" s="25"/>
      <c r="J211" s="25"/>
      <c r="K211" s="30">
        <v>1</v>
      </c>
      <c r="L211" s="82">
        <v>87</v>
      </c>
      <c r="M211" s="25"/>
      <c r="N211" s="77"/>
      <c r="O211" s="85"/>
      <c r="P211" s="5"/>
    </row>
    <row r="212" spans="1:17" ht="15.6" x14ac:dyDescent="0.3">
      <c r="A212" s="81"/>
      <c r="B212" s="74" t="s">
        <v>83</v>
      </c>
      <c r="C212" s="86"/>
      <c r="D212" s="25"/>
      <c r="E212" s="25"/>
      <c r="F212" s="25"/>
      <c r="G212" s="25"/>
      <c r="H212" s="25"/>
      <c r="I212" s="25"/>
      <c r="J212" s="25"/>
      <c r="K212" s="25"/>
      <c r="L212" s="60">
        <v>21.4</v>
      </c>
      <c r="M212" s="25"/>
      <c r="N212" s="77"/>
      <c r="O212" s="85"/>
      <c r="P212" s="5"/>
    </row>
    <row r="213" spans="1:17" ht="15.6" x14ac:dyDescent="0.3">
      <c r="A213" s="81"/>
      <c r="B213" s="74" t="s">
        <v>84</v>
      </c>
      <c r="C213" s="86"/>
      <c r="D213" s="25"/>
      <c r="E213" s="25"/>
      <c r="F213" s="25"/>
      <c r="G213" s="25"/>
      <c r="H213" s="25"/>
      <c r="I213" s="25"/>
      <c r="J213" s="25"/>
      <c r="K213" s="25"/>
      <c r="L213" s="60">
        <v>10.41</v>
      </c>
      <c r="M213" s="25"/>
      <c r="N213" s="77"/>
      <c r="O213" s="85"/>
      <c r="P213" s="5"/>
    </row>
    <row r="214" spans="1:17" ht="15.6" x14ac:dyDescent="0.3">
      <c r="A214" s="81"/>
      <c r="B214" s="117" t="s">
        <v>177</v>
      </c>
      <c r="C214" s="86"/>
      <c r="D214" s="25"/>
      <c r="E214" s="25"/>
      <c r="F214" s="25"/>
      <c r="G214" s="25"/>
      <c r="H214" s="25"/>
      <c r="I214" s="25"/>
      <c r="J214" s="25"/>
      <c r="K214" s="25"/>
      <c r="L214" s="87"/>
      <c r="M214" s="25"/>
      <c r="N214" s="77"/>
      <c r="O214" s="85"/>
      <c r="P214" s="5"/>
    </row>
    <row r="215" spans="1:17" ht="15.6" x14ac:dyDescent="0.3">
      <c r="A215" s="81"/>
      <c r="B215" s="74" t="s">
        <v>250</v>
      </c>
      <c r="C215" s="86"/>
      <c r="D215" s="25"/>
      <c r="E215" s="25"/>
      <c r="F215" s="25"/>
      <c r="G215" s="25"/>
      <c r="H215" s="25"/>
      <c r="I215" s="25"/>
      <c r="J215" s="25"/>
      <c r="K215" s="30">
        <v>0</v>
      </c>
      <c r="L215" s="82">
        <v>0</v>
      </c>
      <c r="M215" s="25"/>
      <c r="N215" s="77"/>
      <c r="O215" s="85"/>
      <c r="P215" s="5"/>
    </row>
    <row r="216" spans="1:17" ht="15.6" x14ac:dyDescent="0.3">
      <c r="A216" s="81"/>
      <c r="B216" s="74" t="s">
        <v>178</v>
      </c>
      <c r="C216" s="86"/>
      <c r="D216" s="25"/>
      <c r="E216" s="25"/>
      <c r="F216" s="25"/>
      <c r="G216" s="25"/>
      <c r="H216" s="25"/>
      <c r="I216" s="25"/>
      <c r="J216" s="25"/>
      <c r="K216" s="25"/>
      <c r="L216" s="60">
        <v>0</v>
      </c>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5.6" x14ac:dyDescent="0.3">
      <c r="A218" s="81"/>
      <c r="B218" s="74"/>
      <c r="C218" s="86"/>
      <c r="D218" s="25"/>
      <c r="E218" s="25"/>
      <c r="F218" s="25"/>
      <c r="G218" s="25"/>
      <c r="H218" s="25"/>
      <c r="I218" s="25"/>
      <c r="J218" s="25"/>
      <c r="K218" s="25"/>
      <c r="L218" s="87"/>
      <c r="M218" s="25"/>
      <c r="N218" s="77"/>
      <c r="O218" s="85"/>
      <c r="P218" s="5"/>
    </row>
    <row r="219" spans="1:17" ht="17.399999999999999" x14ac:dyDescent="0.3">
      <c r="A219" s="81"/>
      <c r="B219" s="140" t="s">
        <v>238</v>
      </c>
      <c r="C219" s="86"/>
      <c r="D219" s="25"/>
      <c r="E219" s="25"/>
      <c r="F219" s="25"/>
      <c r="G219" s="25"/>
      <c r="H219" s="180" t="s">
        <v>237</v>
      </c>
      <c r="I219" s="25"/>
      <c r="J219" s="25"/>
      <c r="K219" s="25"/>
      <c r="L219" s="87"/>
      <c r="M219" s="25"/>
      <c r="N219" s="77"/>
      <c r="O219" s="85"/>
      <c r="P219" s="5"/>
    </row>
    <row r="220" spans="1:17" ht="15.6" x14ac:dyDescent="0.3">
      <c r="A220" s="81"/>
      <c r="B220" s="74"/>
      <c r="C220" s="86"/>
      <c r="D220" s="25"/>
      <c r="E220" s="25"/>
      <c r="F220" s="25"/>
      <c r="G220" s="25"/>
      <c r="H220" s="25"/>
      <c r="I220" s="25"/>
      <c r="J220" s="25"/>
      <c r="K220" s="25"/>
      <c r="L220" s="87"/>
      <c r="M220" s="25"/>
      <c r="N220" s="77"/>
      <c r="O220" s="85"/>
      <c r="P220" s="5"/>
    </row>
    <row r="221" spans="1:17" ht="15.6" x14ac:dyDescent="0.3">
      <c r="A221" s="6"/>
      <c r="B221" s="14" t="s">
        <v>149</v>
      </c>
      <c r="C221" s="79"/>
      <c r="D221" s="17"/>
      <c r="E221" s="17"/>
      <c r="F221" s="17"/>
      <c r="G221" s="17"/>
      <c r="H221" s="17"/>
      <c r="I221" s="17"/>
      <c r="J221" s="80" t="s">
        <v>99</v>
      </c>
      <c r="K221" s="17" t="s">
        <v>100</v>
      </c>
      <c r="L221" s="80" t="s">
        <v>108</v>
      </c>
      <c r="M221" s="17" t="s">
        <v>100</v>
      </c>
      <c r="N221" s="8"/>
      <c r="O221" s="88"/>
      <c r="P221" s="5"/>
    </row>
    <row r="222" spans="1:17" ht="15.6" x14ac:dyDescent="0.3">
      <c r="A222" s="24"/>
      <c r="B222" s="53" t="s">
        <v>85</v>
      </c>
      <c r="C222" s="89"/>
      <c r="D222" s="89"/>
      <c r="E222" s="89"/>
      <c r="F222" s="89"/>
      <c r="G222" s="89"/>
      <c r="H222" s="89"/>
      <c r="I222" s="89"/>
      <c r="J222" s="53">
        <v>3691</v>
      </c>
      <c r="K222" s="90">
        <f t="shared" ref="K222:K234" si="1">J222/$J$236</f>
        <v>0.92645582329317266</v>
      </c>
      <c r="L222" s="52">
        <v>153272</v>
      </c>
      <c r="M222" s="125">
        <f t="shared" ref="M222:M234" si="2">L222/$L$236</f>
        <v>0.89775023575373836</v>
      </c>
      <c r="N222" s="77"/>
      <c r="O222" s="85"/>
      <c r="P222" s="5"/>
    </row>
    <row r="223" spans="1:17" ht="15.6" x14ac:dyDescent="0.3">
      <c r="A223" s="24"/>
      <c r="B223" s="53" t="s">
        <v>86</v>
      </c>
      <c r="C223" s="89"/>
      <c r="D223" s="89"/>
      <c r="E223" s="89"/>
      <c r="F223" s="89"/>
      <c r="G223" s="89"/>
      <c r="H223" s="89"/>
      <c r="I223" s="89"/>
      <c r="J223" s="53">
        <v>129</v>
      </c>
      <c r="K223" s="90">
        <f t="shared" si="1"/>
        <v>3.2379518072289157E-2</v>
      </c>
      <c r="L223" s="52">
        <v>7235</v>
      </c>
      <c r="M223" s="125">
        <f t="shared" si="2"/>
        <v>4.2377100551165885E-2</v>
      </c>
      <c r="N223" s="77"/>
      <c r="O223" s="85"/>
      <c r="P223" s="5"/>
      <c r="Q223" s="104"/>
    </row>
    <row r="224" spans="1:17" ht="15.6" x14ac:dyDescent="0.3">
      <c r="A224" s="24"/>
      <c r="B224" s="53" t="s">
        <v>87</v>
      </c>
      <c r="C224" s="89"/>
      <c r="D224" s="89"/>
      <c r="E224" s="89"/>
      <c r="F224" s="89"/>
      <c r="G224" s="89"/>
      <c r="H224" s="89"/>
      <c r="I224" s="89"/>
      <c r="J224" s="53">
        <v>54</v>
      </c>
      <c r="K224" s="90">
        <f t="shared" si="1"/>
        <v>1.355421686746988E-2</v>
      </c>
      <c r="L224" s="52">
        <v>2635</v>
      </c>
      <c r="M224" s="125">
        <f t="shared" si="2"/>
        <v>1.5433816164799184E-2</v>
      </c>
      <c r="N224" s="77"/>
      <c r="O224" s="85"/>
      <c r="P224" s="5"/>
    </row>
    <row r="225" spans="1:17" ht="15.6" x14ac:dyDescent="0.3">
      <c r="A225" s="24"/>
      <c r="B225" s="53" t="s">
        <v>145</v>
      </c>
      <c r="C225" s="89"/>
      <c r="D225" s="89"/>
      <c r="E225" s="89"/>
      <c r="F225" s="89"/>
      <c r="G225" s="89"/>
      <c r="H225" s="89"/>
      <c r="I225" s="89"/>
      <c r="J225" s="53">
        <v>29</v>
      </c>
      <c r="K225" s="90">
        <f t="shared" si="1"/>
        <v>7.2791164658634541E-3</v>
      </c>
      <c r="L225" s="52">
        <v>1682</v>
      </c>
      <c r="M225" s="125">
        <f t="shared" si="2"/>
        <v>9.8518705082323455E-3</v>
      </c>
      <c r="N225" s="77"/>
      <c r="O225" s="85"/>
      <c r="P225" s="5"/>
      <c r="Q225" s="104"/>
    </row>
    <row r="226" spans="1:17" ht="15.6" x14ac:dyDescent="0.3">
      <c r="A226" s="24"/>
      <c r="B226" s="53" t="s">
        <v>146</v>
      </c>
      <c r="C226" s="89"/>
      <c r="D226" s="89"/>
      <c r="E226" s="89"/>
      <c r="F226" s="89"/>
      <c r="G226" s="89"/>
      <c r="H226" s="89"/>
      <c r="I226" s="89"/>
      <c r="J226" s="53">
        <v>19</v>
      </c>
      <c r="K226" s="90">
        <f t="shared" si="1"/>
        <v>4.7690763052208839E-3</v>
      </c>
      <c r="L226" s="52">
        <v>826</v>
      </c>
      <c r="M226" s="125">
        <f t="shared" si="2"/>
        <v>4.8380767180736719E-3</v>
      </c>
      <c r="N226" s="77"/>
      <c r="O226" s="85"/>
      <c r="P226" s="5"/>
    </row>
    <row r="227" spans="1:17" ht="15.6" x14ac:dyDescent="0.3">
      <c r="A227" s="24"/>
      <c r="B227" s="53" t="s">
        <v>147</v>
      </c>
      <c r="C227" s="89"/>
      <c r="D227" s="89"/>
      <c r="E227" s="89"/>
      <c r="F227" s="89"/>
      <c r="G227" s="89"/>
      <c r="H227" s="89"/>
      <c r="I227" s="89"/>
      <c r="J227" s="53">
        <v>6</v>
      </c>
      <c r="K227" s="90">
        <f t="shared" si="1"/>
        <v>1.5060240963855422E-3</v>
      </c>
      <c r="L227" s="52">
        <v>370</v>
      </c>
      <c r="M227" s="125">
        <f t="shared" si="2"/>
        <v>2.1671772223816692E-3</v>
      </c>
      <c r="N227" s="77"/>
      <c r="O227" s="85"/>
      <c r="P227" s="5"/>
      <c r="Q227" s="104"/>
    </row>
    <row r="228" spans="1:17" ht="15.6" x14ac:dyDescent="0.3">
      <c r="A228" s="24"/>
      <c r="B228" s="53" t="s">
        <v>227</v>
      </c>
      <c r="C228" s="89"/>
      <c r="D228" s="89"/>
      <c r="E228" s="89"/>
      <c r="F228" s="89"/>
      <c r="G228" s="89"/>
      <c r="H228" s="89"/>
      <c r="I228" s="89"/>
      <c r="J228" s="53">
        <v>30</v>
      </c>
      <c r="K228" s="90">
        <f t="shared" si="1"/>
        <v>7.5301204819277108E-3</v>
      </c>
      <c r="L228" s="52">
        <v>1738</v>
      </c>
      <c r="M228" s="125">
        <f t="shared" si="2"/>
        <v>1.0179875709457678E-2</v>
      </c>
      <c r="N228" s="77"/>
      <c r="O228" s="85"/>
      <c r="P228" s="5"/>
    </row>
    <row r="229" spans="1:17" ht="15.6" x14ac:dyDescent="0.3">
      <c r="A229" s="24"/>
      <c r="B229" s="53" t="s">
        <v>228</v>
      </c>
      <c r="C229" s="89"/>
      <c r="D229" s="89"/>
      <c r="E229" s="89"/>
      <c r="F229" s="89"/>
      <c r="G229" s="89"/>
      <c r="H229" s="89"/>
      <c r="I229" s="89"/>
      <c r="J229" s="53">
        <v>9</v>
      </c>
      <c r="K229" s="90">
        <f t="shared" si="1"/>
        <v>2.2590361445783132E-3</v>
      </c>
      <c r="L229" s="52">
        <v>711</v>
      </c>
      <c r="M229" s="125">
        <f t="shared" si="2"/>
        <v>4.1644946084145049E-3</v>
      </c>
      <c r="N229" s="77"/>
      <c r="O229" s="85"/>
      <c r="P229" s="5"/>
      <c r="Q229" s="104"/>
    </row>
    <row r="230" spans="1:17" ht="15.6" x14ac:dyDescent="0.3">
      <c r="A230" s="24"/>
      <c r="B230" s="53" t="s">
        <v>229</v>
      </c>
      <c r="C230" s="89"/>
      <c r="D230" s="89"/>
      <c r="E230" s="89"/>
      <c r="F230" s="89"/>
      <c r="G230" s="89"/>
      <c r="H230" s="89"/>
      <c r="I230" s="89"/>
      <c r="J230" s="53">
        <v>5</v>
      </c>
      <c r="K230" s="90">
        <f t="shared" si="1"/>
        <v>1.2550200803212851E-3</v>
      </c>
      <c r="L230" s="52">
        <v>341</v>
      </c>
      <c r="M230" s="125">
        <f t="shared" si="2"/>
        <v>1.9973173860328357E-3</v>
      </c>
      <c r="N230" s="77"/>
      <c r="O230" s="85"/>
      <c r="P230" s="5"/>
      <c r="Q230" s="104"/>
    </row>
    <row r="231" spans="1:17" ht="15.6" x14ac:dyDescent="0.3">
      <c r="A231" s="24"/>
      <c r="B231" s="53" t="s">
        <v>230</v>
      </c>
      <c r="C231" s="89"/>
      <c r="D231" s="89"/>
      <c r="E231" s="89"/>
      <c r="F231" s="89"/>
      <c r="G231" s="89"/>
      <c r="H231" s="89"/>
      <c r="I231" s="89"/>
      <c r="J231" s="53">
        <v>4</v>
      </c>
      <c r="K231" s="90">
        <f t="shared" si="1"/>
        <v>1.004016064257028E-3</v>
      </c>
      <c r="L231" s="52">
        <v>1395</v>
      </c>
      <c r="M231" s="125">
        <f t="shared" si="2"/>
        <v>8.1708438519525091E-3</v>
      </c>
      <c r="N231" s="77"/>
      <c r="O231" s="85"/>
      <c r="P231" s="5"/>
      <c r="Q231" s="104"/>
    </row>
    <row r="232" spans="1:17" ht="15.6" x14ac:dyDescent="0.3">
      <c r="A232" s="24"/>
      <c r="B232" s="53" t="s">
        <v>231</v>
      </c>
      <c r="C232" s="89"/>
      <c r="D232" s="89"/>
      <c r="E232" s="89"/>
      <c r="F232" s="89"/>
      <c r="G232" s="89"/>
      <c r="H232" s="89"/>
      <c r="I232" s="89"/>
      <c r="J232" s="53">
        <v>3</v>
      </c>
      <c r="K232" s="90">
        <f t="shared" si="1"/>
        <v>7.5301204819277112E-4</v>
      </c>
      <c r="L232" s="52">
        <v>263</v>
      </c>
      <c r="M232" s="125">
        <f t="shared" si="2"/>
        <v>1.540452998611835E-3</v>
      </c>
      <c r="N232" s="77"/>
      <c r="O232" s="85"/>
      <c r="P232" s="5"/>
      <c r="Q232" s="104"/>
    </row>
    <row r="233" spans="1:17" ht="15.6" x14ac:dyDescent="0.3">
      <c r="A233" s="24"/>
      <c r="B233" s="53" t="s">
        <v>232</v>
      </c>
      <c r="C233" s="89"/>
      <c r="D233" s="89"/>
      <c r="E233" s="89"/>
      <c r="F233" s="89"/>
      <c r="G233" s="89"/>
      <c r="H233" s="89"/>
      <c r="I233" s="89"/>
      <c r="J233" s="53">
        <v>2</v>
      </c>
      <c r="K233" s="90">
        <f t="shared" si="1"/>
        <v>5.0200803212851401E-4</v>
      </c>
      <c r="L233" s="52">
        <v>227</v>
      </c>
      <c r="M233" s="125">
        <f t="shared" si="2"/>
        <v>1.3295925121098349E-3</v>
      </c>
      <c r="N233" s="77"/>
      <c r="O233" s="85"/>
      <c r="P233" s="5"/>
      <c r="Q233" s="104"/>
    </row>
    <row r="234" spans="1:17" ht="15.6" x14ac:dyDescent="0.3">
      <c r="A234" s="24"/>
      <c r="B234" s="53" t="s">
        <v>233</v>
      </c>
      <c r="C234" s="89"/>
      <c r="D234" s="89"/>
      <c r="E234" s="89"/>
      <c r="F234" s="89"/>
      <c r="G234" s="89"/>
      <c r="H234" s="89"/>
      <c r="I234" s="89"/>
      <c r="J234" s="53">
        <v>3</v>
      </c>
      <c r="K234" s="90">
        <f t="shared" si="1"/>
        <v>7.5301204819277112E-4</v>
      </c>
      <c r="L234" s="52">
        <v>34</v>
      </c>
      <c r="M234" s="125">
        <f t="shared" si="2"/>
        <v>1.9914601502966689E-4</v>
      </c>
      <c r="N234" s="77"/>
      <c r="O234" s="85"/>
      <c r="P234" s="5"/>
      <c r="Q234" s="104"/>
    </row>
    <row r="235" spans="1:17" ht="15.6" x14ac:dyDescent="0.3">
      <c r="A235" s="24"/>
      <c r="B235" s="53"/>
      <c r="C235" s="89"/>
      <c r="D235" s="89"/>
      <c r="E235" s="89"/>
      <c r="F235" s="89"/>
      <c r="G235" s="89"/>
      <c r="H235" s="89"/>
      <c r="I235" s="89"/>
      <c r="J235" s="53"/>
      <c r="K235" s="90"/>
      <c r="L235" s="52"/>
      <c r="M235" s="125"/>
      <c r="N235" s="77"/>
      <c r="O235" s="85"/>
      <c r="P235" s="5"/>
      <c r="Q235" s="104"/>
    </row>
    <row r="236" spans="1:17" ht="15.6" x14ac:dyDescent="0.3">
      <c r="A236" s="24"/>
      <c r="B236" s="25"/>
      <c r="C236" s="25"/>
      <c r="D236" s="91"/>
      <c r="E236" s="91"/>
      <c r="F236" s="91"/>
      <c r="G236" s="91"/>
      <c r="H236" s="91"/>
      <c r="I236" s="91"/>
      <c r="J236" s="34">
        <f>SUM(J222:J235)</f>
        <v>3984</v>
      </c>
      <c r="K236" s="125">
        <f>SUM(K222:K235)</f>
        <v>0.99999999999999989</v>
      </c>
      <c r="L236" s="52">
        <f>SUM(L222:L235)</f>
        <v>170729</v>
      </c>
      <c r="M236" s="125">
        <f>SUM(M222:M235)</f>
        <v>1</v>
      </c>
      <c r="N236" s="25"/>
      <c r="O236" s="25"/>
      <c r="P236" s="5"/>
    </row>
    <row r="237" spans="1:17" ht="15.6" x14ac:dyDescent="0.3">
      <c r="A237" s="24"/>
      <c r="B237" s="25"/>
      <c r="C237" s="25"/>
      <c r="D237" s="91"/>
      <c r="E237" s="91"/>
      <c r="F237" s="91"/>
      <c r="G237" s="91"/>
      <c r="H237" s="91"/>
      <c r="I237" s="91"/>
      <c r="J237" s="34"/>
      <c r="K237" s="125"/>
      <c r="L237" s="52"/>
      <c r="M237" s="125"/>
      <c r="N237" s="25"/>
      <c r="O237" s="25"/>
      <c r="P237" s="5"/>
    </row>
    <row r="238" spans="1:17" ht="15.6" x14ac:dyDescent="0.3">
      <c r="A238" s="133"/>
      <c r="B238" s="14" t="s">
        <v>204</v>
      </c>
      <c r="C238" s="79"/>
      <c r="D238" s="17"/>
      <c r="E238" s="17"/>
      <c r="F238" s="17"/>
      <c r="G238" s="17"/>
      <c r="H238" s="17"/>
      <c r="I238" s="17"/>
      <c r="J238" s="80" t="s">
        <v>99</v>
      </c>
      <c r="K238" s="17" t="s">
        <v>100</v>
      </c>
      <c r="L238" s="80" t="s">
        <v>108</v>
      </c>
      <c r="M238" s="17" t="s">
        <v>100</v>
      </c>
      <c r="N238" s="131"/>
      <c r="O238" s="132"/>
      <c r="P238" s="5"/>
    </row>
    <row r="239" spans="1:17" ht="15.6" x14ac:dyDescent="0.3">
      <c r="A239" s="24"/>
      <c r="B239" s="53" t="s">
        <v>85</v>
      </c>
      <c r="C239" s="89"/>
      <c r="D239" s="89"/>
      <c r="E239" s="89"/>
      <c r="F239" s="89"/>
      <c r="G239" s="89"/>
      <c r="H239" s="89"/>
      <c r="I239" s="89"/>
      <c r="J239" s="53">
        <v>0</v>
      </c>
      <c r="K239" s="90">
        <v>0</v>
      </c>
      <c r="L239" s="52">
        <v>0</v>
      </c>
      <c r="M239" s="125">
        <v>0</v>
      </c>
      <c r="N239" s="25"/>
      <c r="O239" s="25"/>
      <c r="P239" s="5"/>
    </row>
    <row r="240" spans="1:17" ht="15.6" x14ac:dyDescent="0.3">
      <c r="A240" s="24"/>
      <c r="B240" s="53" t="s">
        <v>86</v>
      </c>
      <c r="C240" s="89"/>
      <c r="D240" s="89"/>
      <c r="E240" s="89"/>
      <c r="F240" s="89"/>
      <c r="G240" s="89"/>
      <c r="H240" s="89"/>
      <c r="I240" s="89"/>
      <c r="J240" s="53">
        <v>0</v>
      </c>
      <c r="K240" s="90">
        <v>0</v>
      </c>
      <c r="L240" s="52">
        <v>0</v>
      </c>
      <c r="M240" s="125">
        <v>0</v>
      </c>
      <c r="N240" s="25"/>
      <c r="O240" s="25"/>
      <c r="P240" s="5"/>
    </row>
    <row r="241" spans="1:16" ht="15.6" x14ac:dyDescent="0.3">
      <c r="A241" s="24"/>
      <c r="B241" s="53" t="s">
        <v>87</v>
      </c>
      <c r="C241" s="89"/>
      <c r="D241" s="89"/>
      <c r="E241" s="89"/>
      <c r="F241" s="89"/>
      <c r="G241" s="89"/>
      <c r="H241" s="89"/>
      <c r="I241" s="89"/>
      <c r="J241" s="53">
        <v>0</v>
      </c>
      <c r="K241" s="90">
        <v>0</v>
      </c>
      <c r="L241" s="52">
        <v>0</v>
      </c>
      <c r="M241" s="125">
        <v>0</v>
      </c>
      <c r="N241" s="25"/>
      <c r="O241" s="25"/>
      <c r="P241" s="5"/>
    </row>
    <row r="242" spans="1:16" ht="15.6" x14ac:dyDescent="0.3">
      <c r="A242" s="24"/>
      <c r="B242" s="53" t="s">
        <v>145</v>
      </c>
      <c r="C242" s="89"/>
      <c r="D242" s="89"/>
      <c r="E242" s="89"/>
      <c r="F242" s="89"/>
      <c r="G242" s="89"/>
      <c r="H242" s="89"/>
      <c r="I242" s="89"/>
      <c r="J242" s="53">
        <v>0</v>
      </c>
      <c r="K242" s="90">
        <v>0</v>
      </c>
      <c r="L242" s="52">
        <v>0</v>
      </c>
      <c r="M242" s="125">
        <v>0</v>
      </c>
      <c r="N242" s="25"/>
      <c r="O242" s="25"/>
      <c r="P242" s="5"/>
    </row>
    <row r="243" spans="1:16" ht="15.6" x14ac:dyDescent="0.3">
      <c r="A243" s="24"/>
      <c r="B243" s="53" t="s">
        <v>146</v>
      </c>
      <c r="C243" s="89"/>
      <c r="D243" s="89"/>
      <c r="E243" s="89"/>
      <c r="F243" s="89"/>
      <c r="G243" s="89"/>
      <c r="H243" s="89"/>
      <c r="I243" s="89"/>
      <c r="J243" s="53">
        <v>0</v>
      </c>
      <c r="K243" s="90">
        <v>0</v>
      </c>
      <c r="L243" s="52">
        <v>0</v>
      </c>
      <c r="M243" s="125">
        <v>0</v>
      </c>
      <c r="N243" s="25"/>
      <c r="O243" s="25"/>
      <c r="P243" s="5"/>
    </row>
    <row r="244" spans="1:16" ht="15.6" x14ac:dyDescent="0.3">
      <c r="A244" s="24"/>
      <c r="B244" s="53" t="s">
        <v>147</v>
      </c>
      <c r="C244" s="89"/>
      <c r="D244" s="89"/>
      <c r="E244" s="89"/>
      <c r="F244" s="89"/>
      <c r="G244" s="89"/>
      <c r="H244" s="89"/>
      <c r="I244" s="89"/>
      <c r="J244" s="53">
        <v>0</v>
      </c>
      <c r="K244" s="90">
        <v>0</v>
      </c>
      <c r="L244" s="52">
        <v>0</v>
      </c>
      <c r="M244" s="125">
        <v>0</v>
      </c>
      <c r="N244" s="25"/>
      <c r="O244" s="25"/>
      <c r="P244" s="5"/>
    </row>
    <row r="245" spans="1:16" ht="15.6" x14ac:dyDescent="0.3">
      <c r="A245" s="24"/>
      <c r="B245" s="53" t="s">
        <v>227</v>
      </c>
      <c r="C245" s="89"/>
      <c r="D245" s="89"/>
      <c r="E245" s="89"/>
      <c r="F245" s="89"/>
      <c r="G245" s="89"/>
      <c r="H245" s="89"/>
      <c r="I245" s="89"/>
      <c r="J245" s="53">
        <v>0</v>
      </c>
      <c r="K245" s="90">
        <v>0</v>
      </c>
      <c r="L245" s="52">
        <v>0</v>
      </c>
      <c r="M245" s="125">
        <v>0</v>
      </c>
      <c r="N245" s="25"/>
      <c r="O245" s="25"/>
      <c r="P245" s="5"/>
    </row>
    <row r="246" spans="1:16" ht="15.6" x14ac:dyDescent="0.3">
      <c r="A246" s="24"/>
      <c r="B246" s="53" t="s">
        <v>228</v>
      </c>
      <c r="C246" s="89"/>
      <c r="D246" s="89"/>
      <c r="E246" s="89"/>
      <c r="F246" s="89"/>
      <c r="G246" s="89"/>
      <c r="H246" s="89"/>
      <c r="I246" s="89"/>
      <c r="J246" s="53">
        <v>0</v>
      </c>
      <c r="K246" s="90">
        <v>0</v>
      </c>
      <c r="L246" s="52">
        <v>0</v>
      </c>
      <c r="M246" s="125">
        <v>0</v>
      </c>
      <c r="N246" s="25"/>
      <c r="O246" s="25"/>
      <c r="P246" s="5"/>
    </row>
    <row r="247" spans="1:16" ht="15.6" x14ac:dyDescent="0.3">
      <c r="A247" s="24"/>
      <c r="B247" s="53" t="s">
        <v>229</v>
      </c>
      <c r="C247" s="89"/>
      <c r="D247" s="89"/>
      <c r="E247" s="89"/>
      <c r="F247" s="89"/>
      <c r="G247" s="89"/>
      <c r="H247" s="89"/>
      <c r="I247" s="89"/>
      <c r="J247" s="53">
        <v>0</v>
      </c>
      <c r="K247" s="90">
        <v>0</v>
      </c>
      <c r="L247" s="52">
        <v>0</v>
      </c>
      <c r="M247" s="125">
        <v>0</v>
      </c>
      <c r="N247" s="25"/>
      <c r="O247" s="25"/>
      <c r="P247" s="5"/>
    </row>
    <row r="248" spans="1:16" ht="15.6" x14ac:dyDescent="0.3">
      <c r="A248" s="24"/>
      <c r="B248" s="53" t="s">
        <v>230</v>
      </c>
      <c r="C248" s="89"/>
      <c r="D248" s="89"/>
      <c r="E248" s="89"/>
      <c r="F248" s="89"/>
      <c r="G248" s="89"/>
      <c r="H248" s="89"/>
      <c r="I248" s="89"/>
      <c r="J248" s="53">
        <v>0</v>
      </c>
      <c r="K248" s="90">
        <v>0</v>
      </c>
      <c r="L248" s="52">
        <v>0</v>
      </c>
      <c r="M248" s="125">
        <v>0</v>
      </c>
      <c r="N248" s="25"/>
      <c r="O248" s="25"/>
      <c r="P248" s="5"/>
    </row>
    <row r="249" spans="1:16" ht="15.6" x14ac:dyDescent="0.3">
      <c r="A249" s="24"/>
      <c r="B249" s="53" t="s">
        <v>231</v>
      </c>
      <c r="C249" s="89"/>
      <c r="D249" s="89"/>
      <c r="E249" s="89"/>
      <c r="F249" s="89"/>
      <c r="G249" s="89"/>
      <c r="H249" s="89"/>
      <c r="I249" s="89"/>
      <c r="J249" s="53">
        <v>0</v>
      </c>
      <c r="K249" s="90">
        <v>0</v>
      </c>
      <c r="L249" s="52">
        <v>0</v>
      </c>
      <c r="M249" s="125">
        <v>0</v>
      </c>
      <c r="N249" s="25"/>
      <c r="O249" s="25"/>
      <c r="P249" s="5"/>
    </row>
    <row r="250" spans="1:16" ht="15.6" x14ac:dyDescent="0.3">
      <c r="A250" s="24"/>
      <c r="B250" s="53" t="s">
        <v>232</v>
      </c>
      <c r="C250" s="89"/>
      <c r="D250" s="89"/>
      <c r="E250" s="89"/>
      <c r="F250" s="89"/>
      <c r="G250" s="89"/>
      <c r="H250" s="89"/>
      <c r="I250" s="89"/>
      <c r="J250" s="53">
        <v>0</v>
      </c>
      <c r="K250" s="90">
        <v>0</v>
      </c>
      <c r="L250" s="52">
        <v>0</v>
      </c>
      <c r="M250" s="125">
        <v>0</v>
      </c>
      <c r="N250" s="25"/>
      <c r="O250" s="25"/>
      <c r="P250" s="5"/>
    </row>
    <row r="251" spans="1:16" ht="15.6" x14ac:dyDescent="0.3">
      <c r="A251" s="24"/>
      <c r="B251" s="53" t="s">
        <v>233</v>
      </c>
      <c r="C251" s="89"/>
      <c r="D251" s="89"/>
      <c r="E251" s="89"/>
      <c r="F251" s="89"/>
      <c r="G251" s="89"/>
      <c r="H251" s="89"/>
      <c r="I251" s="89"/>
      <c r="J251" s="53">
        <v>0</v>
      </c>
      <c r="K251" s="90">
        <v>0</v>
      </c>
      <c r="L251" s="52">
        <v>0</v>
      </c>
      <c r="M251" s="125">
        <v>0</v>
      </c>
      <c r="N251" s="25"/>
      <c r="O251" s="25"/>
      <c r="P251" s="5"/>
    </row>
    <row r="252" spans="1:16" ht="15.6" x14ac:dyDescent="0.3">
      <c r="A252" s="24"/>
      <c r="B252" s="53"/>
      <c r="C252" s="89"/>
      <c r="D252" s="89"/>
      <c r="E252" s="89"/>
      <c r="F252" s="89"/>
      <c r="G252" s="89"/>
      <c r="H252" s="89"/>
      <c r="I252" s="89"/>
      <c r="J252" s="53"/>
      <c r="K252" s="90"/>
      <c r="L252" s="52"/>
      <c r="M252" s="125"/>
      <c r="N252" s="25"/>
      <c r="O252" s="25"/>
      <c r="P252" s="5"/>
    </row>
    <row r="253" spans="1:16" ht="15.6" x14ac:dyDescent="0.3">
      <c r="A253" s="24"/>
      <c r="B253" s="25"/>
      <c r="C253" s="25"/>
      <c r="D253" s="91"/>
      <c r="E253" s="91"/>
      <c r="F253" s="91"/>
      <c r="G253" s="91"/>
      <c r="H253" s="91"/>
      <c r="I253" s="91"/>
      <c r="J253" s="34">
        <f>SUM(J239:J252)</f>
        <v>0</v>
      </c>
      <c r="K253" s="125">
        <f>SUM(K239:K252)</f>
        <v>0</v>
      </c>
      <c r="L253" s="52">
        <f>SUM(L239:L252)</f>
        <v>0</v>
      </c>
      <c r="M253" s="125">
        <f>SUM(M239:M252)</f>
        <v>0</v>
      </c>
      <c r="N253" s="25"/>
      <c r="O253" s="25"/>
      <c r="P253" s="5"/>
    </row>
    <row r="254" spans="1:16" ht="15.6" x14ac:dyDescent="0.3">
      <c r="A254" s="24"/>
      <c r="B254" s="25"/>
      <c r="C254" s="25"/>
      <c r="D254" s="91"/>
      <c r="E254" s="91"/>
      <c r="F254" s="91"/>
      <c r="G254" s="91"/>
      <c r="H254" s="91"/>
      <c r="I254" s="91"/>
      <c r="J254" s="34"/>
      <c r="K254" s="125"/>
      <c r="L254" s="52"/>
      <c r="M254" s="125"/>
      <c r="N254" s="25"/>
      <c r="O254" s="25"/>
      <c r="P254" s="5"/>
    </row>
    <row r="255" spans="1:16" ht="15.6" x14ac:dyDescent="0.3">
      <c r="A255" s="133"/>
      <c r="B255" s="14" t="s">
        <v>150</v>
      </c>
      <c r="C255" s="131"/>
      <c r="D255" s="137"/>
      <c r="E255" s="137"/>
      <c r="F255" s="137"/>
      <c r="G255" s="137"/>
      <c r="H255" s="137"/>
      <c r="I255" s="137"/>
      <c r="J255" s="80" t="s">
        <v>99</v>
      </c>
      <c r="K255" s="17" t="s">
        <v>100</v>
      </c>
      <c r="L255" s="80" t="s">
        <v>108</v>
      </c>
      <c r="M255" s="17" t="s">
        <v>100</v>
      </c>
      <c r="N255" s="131"/>
      <c r="O255" s="132"/>
      <c r="P255" s="5"/>
    </row>
    <row r="256" spans="1:16" ht="15.6" x14ac:dyDescent="0.3">
      <c r="A256" s="24"/>
      <c r="B256" s="53" t="s">
        <v>85</v>
      </c>
      <c r="C256" s="25"/>
      <c r="D256" s="91"/>
      <c r="E256" s="91"/>
      <c r="F256" s="91"/>
      <c r="G256" s="91"/>
      <c r="H256" s="91"/>
      <c r="I256" s="91"/>
      <c r="J256" s="53">
        <v>0</v>
      </c>
      <c r="K256" s="90">
        <v>0</v>
      </c>
      <c r="L256" s="52">
        <v>0</v>
      </c>
      <c r="M256" s="125">
        <v>0</v>
      </c>
      <c r="N256" s="25"/>
      <c r="O256" s="25"/>
      <c r="P256" s="5"/>
    </row>
    <row r="257" spans="1:16" ht="15.6" x14ac:dyDescent="0.3">
      <c r="A257" s="24"/>
      <c r="B257" s="53" t="s">
        <v>86</v>
      </c>
      <c r="C257" s="25"/>
      <c r="D257" s="91"/>
      <c r="E257" s="91"/>
      <c r="F257" s="91"/>
      <c r="G257" s="91"/>
      <c r="H257" s="91"/>
      <c r="I257" s="91"/>
      <c r="J257" s="53">
        <v>0</v>
      </c>
      <c r="K257" s="90">
        <v>0</v>
      </c>
      <c r="L257" s="52">
        <v>0</v>
      </c>
      <c r="M257" s="125">
        <v>0</v>
      </c>
      <c r="N257" s="25"/>
      <c r="O257" s="25"/>
      <c r="P257" s="5"/>
    </row>
    <row r="258" spans="1:16" ht="15.6" x14ac:dyDescent="0.3">
      <c r="A258" s="24"/>
      <c r="B258" s="53" t="s">
        <v>87</v>
      </c>
      <c r="C258" s="25"/>
      <c r="D258" s="91"/>
      <c r="E258" s="91"/>
      <c r="F258" s="91"/>
      <c r="G258" s="91"/>
      <c r="H258" s="91"/>
      <c r="I258" s="91"/>
      <c r="J258" s="53">
        <v>0</v>
      </c>
      <c r="K258" s="90">
        <v>0</v>
      </c>
      <c r="L258" s="52">
        <v>0</v>
      </c>
      <c r="M258" s="125">
        <v>0</v>
      </c>
      <c r="N258" s="25"/>
      <c r="O258" s="25"/>
      <c r="P258" s="5"/>
    </row>
    <row r="259" spans="1:16" ht="15.6" x14ac:dyDescent="0.3">
      <c r="A259" s="24"/>
      <c r="B259" s="53" t="s">
        <v>145</v>
      </c>
      <c r="C259" s="25"/>
      <c r="D259" s="91"/>
      <c r="E259" s="91"/>
      <c r="F259" s="91"/>
      <c r="G259" s="91"/>
      <c r="H259" s="91"/>
      <c r="I259" s="91"/>
      <c r="J259" s="53">
        <v>0</v>
      </c>
      <c r="K259" s="90">
        <v>0</v>
      </c>
      <c r="L259" s="52">
        <v>0</v>
      </c>
      <c r="M259" s="125">
        <v>0</v>
      </c>
      <c r="N259" s="25"/>
      <c r="O259" s="25"/>
      <c r="P259" s="5"/>
    </row>
    <row r="260" spans="1:16" ht="15.6" x14ac:dyDescent="0.3">
      <c r="A260" s="24"/>
      <c r="B260" s="53" t="s">
        <v>146</v>
      </c>
      <c r="C260" s="25"/>
      <c r="D260" s="91"/>
      <c r="E260" s="91"/>
      <c r="F260" s="91"/>
      <c r="G260" s="91"/>
      <c r="H260" s="91"/>
      <c r="I260" s="91"/>
      <c r="J260" s="53">
        <v>0</v>
      </c>
      <c r="K260" s="90">
        <v>0</v>
      </c>
      <c r="L260" s="52">
        <v>0</v>
      </c>
      <c r="M260" s="125">
        <v>0</v>
      </c>
      <c r="N260" s="25"/>
      <c r="O260" s="25"/>
      <c r="P260" s="5"/>
    </row>
    <row r="261" spans="1:16" ht="15.6" x14ac:dyDescent="0.3">
      <c r="A261" s="24"/>
      <c r="B261" s="53" t="s">
        <v>147</v>
      </c>
      <c r="C261" s="25"/>
      <c r="D261" s="91"/>
      <c r="E261" s="91"/>
      <c r="F261" s="91"/>
      <c r="G261" s="91"/>
      <c r="H261" s="91"/>
      <c r="I261" s="91"/>
      <c r="J261" s="53">
        <v>0</v>
      </c>
      <c r="K261" s="90">
        <v>0</v>
      </c>
      <c r="L261" s="52">
        <v>0</v>
      </c>
      <c r="M261" s="125">
        <v>0</v>
      </c>
      <c r="N261" s="25"/>
      <c r="O261" s="25"/>
      <c r="P261" s="5"/>
    </row>
    <row r="262" spans="1:16" ht="15.6" x14ac:dyDescent="0.3">
      <c r="A262" s="24"/>
      <c r="B262" s="53" t="s">
        <v>227</v>
      </c>
      <c r="C262" s="25"/>
      <c r="D262" s="91"/>
      <c r="E262" s="91"/>
      <c r="F262" s="91"/>
      <c r="G262" s="91"/>
      <c r="H262" s="91"/>
      <c r="I262" s="91"/>
      <c r="J262" s="53">
        <v>0</v>
      </c>
      <c r="K262" s="90">
        <v>0</v>
      </c>
      <c r="L262" s="52">
        <v>0</v>
      </c>
      <c r="M262" s="125">
        <v>0</v>
      </c>
      <c r="N262" s="25"/>
      <c r="O262" s="25"/>
      <c r="P262" s="5"/>
    </row>
    <row r="263" spans="1:16" ht="15.6" x14ac:dyDescent="0.3">
      <c r="A263" s="24"/>
      <c r="B263" s="53" t="s">
        <v>228</v>
      </c>
      <c r="C263" s="25"/>
      <c r="D263" s="91"/>
      <c r="E263" s="91"/>
      <c r="F263" s="91"/>
      <c r="G263" s="91"/>
      <c r="H263" s="91"/>
      <c r="I263" s="91"/>
      <c r="J263" s="53">
        <v>0</v>
      </c>
      <c r="K263" s="90">
        <v>0</v>
      </c>
      <c r="L263" s="52">
        <v>0</v>
      </c>
      <c r="M263" s="125">
        <v>0</v>
      </c>
      <c r="N263" s="25"/>
      <c r="O263" s="25"/>
      <c r="P263" s="5"/>
    </row>
    <row r="264" spans="1:16" ht="15.6" x14ac:dyDescent="0.3">
      <c r="A264" s="24"/>
      <c r="B264" s="53" t="s">
        <v>229</v>
      </c>
      <c r="C264" s="25"/>
      <c r="D264" s="91"/>
      <c r="E264" s="91"/>
      <c r="F264" s="91"/>
      <c r="G264" s="91"/>
      <c r="H264" s="91"/>
      <c r="I264" s="91"/>
      <c r="J264" s="53">
        <v>0</v>
      </c>
      <c r="K264" s="90">
        <v>0</v>
      </c>
      <c r="L264" s="52">
        <v>0</v>
      </c>
      <c r="M264" s="125">
        <v>0</v>
      </c>
      <c r="N264" s="25"/>
      <c r="O264" s="25"/>
      <c r="P264" s="5"/>
    </row>
    <row r="265" spans="1:16" ht="15.6" x14ac:dyDescent="0.3">
      <c r="A265" s="24"/>
      <c r="B265" s="53" t="s">
        <v>230</v>
      </c>
      <c r="C265" s="25"/>
      <c r="D265" s="91"/>
      <c r="E265" s="91"/>
      <c r="F265" s="91"/>
      <c r="G265" s="91"/>
      <c r="H265" s="91"/>
      <c r="I265" s="91"/>
      <c r="J265" s="53">
        <v>0</v>
      </c>
      <c r="K265" s="90">
        <v>0</v>
      </c>
      <c r="L265" s="52">
        <v>0</v>
      </c>
      <c r="M265" s="125">
        <v>0</v>
      </c>
      <c r="N265" s="25"/>
      <c r="O265" s="25"/>
      <c r="P265" s="5"/>
    </row>
    <row r="266" spans="1:16" ht="15.6" x14ac:dyDescent="0.3">
      <c r="A266" s="24"/>
      <c r="B266" s="53" t="s">
        <v>231</v>
      </c>
      <c r="C266" s="25"/>
      <c r="D266" s="91"/>
      <c r="E266" s="91"/>
      <c r="F266" s="91"/>
      <c r="G266" s="91"/>
      <c r="H266" s="91"/>
      <c r="I266" s="91"/>
      <c r="J266" s="53">
        <v>0</v>
      </c>
      <c r="K266" s="90">
        <v>0</v>
      </c>
      <c r="L266" s="52">
        <v>0</v>
      </c>
      <c r="M266" s="125">
        <v>0</v>
      </c>
      <c r="N266" s="25"/>
      <c r="O266" s="25"/>
      <c r="P266" s="5"/>
    </row>
    <row r="267" spans="1:16" ht="15.6" x14ac:dyDescent="0.3">
      <c r="A267" s="24"/>
      <c r="B267" s="53" t="s">
        <v>232</v>
      </c>
      <c r="C267" s="25"/>
      <c r="D267" s="91"/>
      <c r="E267" s="91"/>
      <c r="F267" s="91"/>
      <c r="G267" s="91"/>
      <c r="H267" s="91"/>
      <c r="I267" s="91"/>
      <c r="J267" s="53">
        <v>0</v>
      </c>
      <c r="K267" s="90">
        <v>0</v>
      </c>
      <c r="L267" s="52">
        <v>0</v>
      </c>
      <c r="M267" s="125">
        <v>0</v>
      </c>
      <c r="N267" s="25"/>
      <c r="O267" s="25"/>
      <c r="P267" s="5"/>
    </row>
    <row r="268" spans="1:16" ht="15.6" x14ac:dyDescent="0.3">
      <c r="A268" s="24"/>
      <c r="B268" s="53" t="s">
        <v>233</v>
      </c>
      <c r="C268" s="25"/>
      <c r="D268" s="91"/>
      <c r="E268" s="91"/>
      <c r="F268" s="91"/>
      <c r="G268" s="91"/>
      <c r="H268" s="91"/>
      <c r="I268" s="91"/>
      <c r="J268" s="53">
        <v>0</v>
      </c>
      <c r="K268" s="90">
        <v>0</v>
      </c>
      <c r="L268" s="52">
        <v>0</v>
      </c>
      <c r="M268" s="125">
        <v>0</v>
      </c>
      <c r="N268" s="25"/>
      <c r="O268" s="25"/>
      <c r="P268" s="5"/>
    </row>
    <row r="269" spans="1:16" ht="15.6" x14ac:dyDescent="0.3">
      <c r="A269" s="24"/>
      <c r="B269" s="53"/>
      <c r="C269" s="25"/>
      <c r="D269" s="91"/>
      <c r="E269" s="91"/>
      <c r="F269" s="91"/>
      <c r="G269" s="91"/>
      <c r="H269" s="91"/>
      <c r="I269" s="91"/>
      <c r="J269" s="53"/>
      <c r="K269" s="90"/>
      <c r="L269" s="52"/>
      <c r="M269" s="125"/>
      <c r="N269" s="25"/>
      <c r="O269" s="25"/>
      <c r="P269" s="5"/>
    </row>
    <row r="270" spans="1:16" ht="15.6" x14ac:dyDescent="0.3">
      <c r="A270" s="24"/>
      <c r="B270" s="25" t="s">
        <v>114</v>
      </c>
      <c r="C270" s="25"/>
      <c r="D270" s="91"/>
      <c r="E270" s="91"/>
      <c r="F270" s="91"/>
      <c r="G270" s="91"/>
      <c r="H270" s="91"/>
      <c r="I270" s="91"/>
      <c r="J270" s="34">
        <f>SUM(J256:J268)</f>
        <v>0</v>
      </c>
      <c r="K270" s="90">
        <f>SUM(K256:K268)</f>
        <v>0</v>
      </c>
      <c r="L270" s="52">
        <f>SUM(L256:L268)</f>
        <v>0</v>
      </c>
      <c r="M270" s="125">
        <f>SUM(M256:M268)</f>
        <v>0</v>
      </c>
      <c r="N270" s="25"/>
      <c r="O270" s="25"/>
      <c r="P270" s="5"/>
    </row>
    <row r="271" spans="1:16" ht="15.6" x14ac:dyDescent="0.3">
      <c r="A271" s="24"/>
      <c r="B271" s="25"/>
      <c r="C271" s="25"/>
      <c r="D271" s="91"/>
      <c r="E271" s="91"/>
      <c r="F271" s="91"/>
      <c r="G271" s="91"/>
      <c r="H271" s="91"/>
      <c r="I271" s="91"/>
      <c r="J271" s="34"/>
      <c r="K271" s="125"/>
      <c r="L271" s="52"/>
      <c r="M271" s="125"/>
      <c r="N271" s="25"/>
      <c r="O271" s="25"/>
      <c r="P271" s="5"/>
    </row>
    <row r="272" spans="1:16" ht="15.6" x14ac:dyDescent="0.3">
      <c r="A272" s="24"/>
      <c r="B272" s="134" t="s">
        <v>151</v>
      </c>
      <c r="C272" s="25"/>
      <c r="D272" s="91"/>
      <c r="E272" s="91"/>
      <c r="F272" s="91"/>
      <c r="G272" s="91"/>
      <c r="H272" s="91"/>
      <c r="I272" s="91"/>
      <c r="J272" s="149">
        <f>J270+J253+J236</f>
        <v>3984</v>
      </c>
      <c r="K272" s="135"/>
      <c r="L272" s="136">
        <f>+L270+L253+L236</f>
        <v>170729</v>
      </c>
      <c r="M272" s="135"/>
      <c r="N272" s="25"/>
      <c r="O272" s="25"/>
      <c r="P272" s="5"/>
    </row>
    <row r="273" spans="1:16" ht="15.6" x14ac:dyDescent="0.3">
      <c r="A273" s="24"/>
      <c r="B273" s="25"/>
      <c r="C273" s="25"/>
      <c r="D273" s="91"/>
      <c r="E273" s="91"/>
      <c r="F273" s="91"/>
      <c r="G273" s="91"/>
      <c r="H273" s="91"/>
      <c r="I273" s="91"/>
      <c r="J273" s="91"/>
      <c r="K273" s="91"/>
      <c r="L273" s="52"/>
      <c r="M273" s="91"/>
      <c r="N273" s="25"/>
      <c r="O273" s="25"/>
      <c r="P273" s="5"/>
    </row>
    <row r="274" spans="1:16" ht="15.6" x14ac:dyDescent="0.3">
      <c r="A274" s="6"/>
      <c r="B274" s="8"/>
      <c r="C274" s="8"/>
      <c r="D274" s="92"/>
      <c r="E274" s="92"/>
      <c r="F274" s="92"/>
      <c r="G274" s="92"/>
      <c r="H274" s="92"/>
      <c r="I274" s="92"/>
      <c r="J274" s="92"/>
      <c r="K274" s="92"/>
      <c r="L274" s="93"/>
      <c r="M274" s="92"/>
      <c r="N274" s="8"/>
      <c r="O274" s="8"/>
      <c r="P274" s="5"/>
    </row>
    <row r="275" spans="1:16" ht="15.6" x14ac:dyDescent="0.3">
      <c r="A275" s="179"/>
      <c r="B275" s="14" t="s">
        <v>88</v>
      </c>
      <c r="C275" s="15"/>
      <c r="D275" s="17" t="s">
        <v>94</v>
      </c>
      <c r="E275" s="15"/>
      <c r="F275" s="14" t="s">
        <v>96</v>
      </c>
      <c r="G275" s="174"/>
      <c r="H275" s="174"/>
      <c r="I275" s="174"/>
      <c r="J275" s="17"/>
      <c r="K275" s="15"/>
      <c r="L275" s="14"/>
      <c r="M275" s="174"/>
      <c r="N275" s="174"/>
      <c r="O275" s="174"/>
      <c r="P275" s="5"/>
    </row>
    <row r="276" spans="1:16" ht="15.6" x14ac:dyDescent="0.3">
      <c r="A276" s="179"/>
      <c r="B276" s="174"/>
      <c r="C276" s="8"/>
      <c r="D276" s="8"/>
      <c r="E276" s="8"/>
      <c r="F276" s="8"/>
      <c r="G276" s="174"/>
      <c r="H276" s="174"/>
      <c r="I276" s="174"/>
      <c r="J276" s="8"/>
      <c r="K276" s="8"/>
      <c r="L276" s="8"/>
      <c r="M276" s="174"/>
      <c r="N276" s="174"/>
      <c r="O276" s="174"/>
      <c r="P276" s="5"/>
    </row>
    <row r="277" spans="1:16" ht="15.6" x14ac:dyDescent="0.3">
      <c r="A277" s="179"/>
      <c r="B277" s="13" t="s">
        <v>89</v>
      </c>
      <c r="C277" s="13"/>
      <c r="D277" s="123" t="s">
        <v>138</v>
      </c>
      <c r="E277" s="13"/>
      <c r="F277" s="13" t="s">
        <v>141</v>
      </c>
      <c r="G277" s="174"/>
      <c r="H277" s="174"/>
      <c r="I277" s="174"/>
      <c r="J277" s="123"/>
      <c r="K277" s="13"/>
      <c r="L277" s="13"/>
      <c r="M277" s="174"/>
      <c r="N277" s="174"/>
      <c r="O277" s="174"/>
      <c r="P277" s="5"/>
    </row>
    <row r="278" spans="1:16" ht="15.6" x14ac:dyDescent="0.3">
      <c r="A278" s="13"/>
      <c r="B278" s="13" t="s">
        <v>239</v>
      </c>
      <c r="C278" s="13"/>
      <c r="D278" s="123" t="s">
        <v>240</v>
      </c>
      <c r="E278" s="123"/>
      <c r="F278" s="13" t="s">
        <v>241</v>
      </c>
      <c r="G278" s="13"/>
      <c r="H278" s="174"/>
      <c r="I278" s="174"/>
      <c r="J278" s="123"/>
      <c r="K278" s="13"/>
      <c r="L278" s="13"/>
      <c r="M278" s="174"/>
      <c r="N278" s="174"/>
      <c r="O278" s="174"/>
      <c r="P278" s="5"/>
    </row>
    <row r="279" spans="1:16" ht="15.6" x14ac:dyDescent="0.3">
      <c r="A279" s="179"/>
      <c r="B279" s="13" t="s">
        <v>90</v>
      </c>
      <c r="C279" s="13"/>
      <c r="D279" s="123" t="s">
        <v>137</v>
      </c>
      <c r="E279" s="13"/>
      <c r="F279" s="13" t="s">
        <v>142</v>
      </c>
      <c r="G279" s="174"/>
      <c r="H279" s="174"/>
      <c r="I279" s="174"/>
      <c r="J279" s="123"/>
      <c r="K279" s="13"/>
      <c r="L279" s="13"/>
      <c r="M279" s="174"/>
      <c r="N279" s="174"/>
      <c r="O279" s="174"/>
      <c r="P279" s="5"/>
    </row>
    <row r="280" spans="1:16" ht="15.6" x14ac:dyDescent="0.3">
      <c r="A280" s="179"/>
      <c r="B280" s="13"/>
      <c r="C280" s="13"/>
      <c r="D280" s="174"/>
      <c r="E280" s="174"/>
      <c r="F280" s="174"/>
      <c r="G280" s="174"/>
      <c r="H280" s="174"/>
      <c r="I280" s="174"/>
      <c r="J280" s="174"/>
      <c r="K280" s="174"/>
      <c r="L280" s="174"/>
      <c r="M280" s="174"/>
      <c r="N280" s="174"/>
      <c r="O280" s="174"/>
      <c r="P280" s="5"/>
    </row>
    <row r="281" spans="1:16" ht="15.6" x14ac:dyDescent="0.3">
      <c r="A281" s="179"/>
      <c r="B281" s="13"/>
      <c r="C281" s="13"/>
      <c r="D281" s="174"/>
      <c r="E281" s="174"/>
      <c r="F281" s="174"/>
      <c r="G281" s="174"/>
      <c r="H281" s="174"/>
      <c r="I281" s="174"/>
      <c r="J281" s="174"/>
      <c r="K281" s="174"/>
      <c r="L281" s="174"/>
      <c r="M281" s="174"/>
      <c r="N281" s="174"/>
      <c r="O281" s="174"/>
      <c r="P281" s="5"/>
    </row>
    <row r="282" spans="1:16" ht="18" thickBot="1" x14ac:dyDescent="0.35">
      <c r="A282" s="179"/>
      <c r="B282" s="48" t="str">
        <f>B183</f>
        <v>FF7 INVESTOR REPORT QUARTER ENDING MAY 2008</v>
      </c>
      <c r="C282" s="13"/>
      <c r="D282" s="174"/>
      <c r="E282" s="174"/>
      <c r="F282" s="174"/>
      <c r="G282" s="174"/>
      <c r="H282" s="174"/>
      <c r="I282" s="174"/>
      <c r="J282" s="174"/>
      <c r="K282" s="174"/>
      <c r="L282" s="174"/>
      <c r="M282" s="174"/>
      <c r="N282" s="174"/>
      <c r="O282" s="174"/>
      <c r="P282" s="5"/>
    </row>
    <row r="283" spans="1:16" x14ac:dyDescent="0.25">
      <c r="A283" s="95"/>
      <c r="B283" s="95"/>
      <c r="C283" s="95"/>
      <c r="D283" s="95"/>
      <c r="E283" s="95"/>
      <c r="F283" s="95"/>
      <c r="G283" s="95"/>
      <c r="H283" s="95"/>
      <c r="I283" s="95"/>
      <c r="J283" s="95"/>
      <c r="K283" s="95"/>
      <c r="L283" s="95"/>
      <c r="M283" s="95"/>
      <c r="N283" s="95"/>
      <c r="O283"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3" manualBreakCount="3">
    <brk id="52" max="14" man="1"/>
    <brk id="116" max="14" man="1"/>
    <brk id="183"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sheetPr>
  <dimension ref="A1:IV283"/>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4.7199999999999999E-2</v>
      </c>
      <c r="L16" s="17" t="s">
        <v>133</v>
      </c>
      <c r="M16" s="129">
        <v>0.95279999999999998</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39714</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74"/>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74"/>
      <c r="N22" s="174"/>
      <c r="O22" s="8"/>
      <c r="P22" s="5"/>
    </row>
    <row r="23" spans="1:16" ht="15.6" x14ac:dyDescent="0.3">
      <c r="A23" s="24"/>
      <c r="B23" s="25" t="s">
        <v>7</v>
      </c>
      <c r="C23" s="26"/>
      <c r="D23" s="26" t="s">
        <v>134</v>
      </c>
      <c r="E23" s="26"/>
      <c r="F23" s="26" t="s">
        <v>152</v>
      </c>
      <c r="G23" s="26"/>
      <c r="H23" s="26" t="s">
        <v>135</v>
      </c>
      <c r="I23" s="26"/>
      <c r="J23" s="26"/>
      <c r="K23" s="26"/>
      <c r="L23" s="26"/>
      <c r="M23" s="175"/>
      <c r="N23" s="175"/>
      <c r="O23" s="25"/>
      <c r="P23" s="5"/>
    </row>
    <row r="24" spans="1:16" ht="15.6" x14ac:dyDescent="0.3">
      <c r="A24" s="28"/>
      <c r="B24" s="124" t="s">
        <v>162</v>
      </c>
      <c r="C24" s="118"/>
      <c r="D24" s="26" t="s">
        <v>134</v>
      </c>
      <c r="E24" s="26"/>
      <c r="F24" s="26" t="s">
        <v>152</v>
      </c>
      <c r="G24" s="26"/>
      <c r="H24" s="26" t="s">
        <v>135</v>
      </c>
      <c r="I24" s="26"/>
      <c r="J24" s="26"/>
      <c r="K24" s="118"/>
      <c r="L24" s="26"/>
      <c r="M24" s="175"/>
      <c r="N24" s="175"/>
      <c r="O24" s="25"/>
      <c r="P24" s="5"/>
    </row>
    <row r="25" spans="1:16" ht="15.6" x14ac:dyDescent="0.3">
      <c r="A25" s="24"/>
      <c r="B25" s="29" t="s">
        <v>163</v>
      </c>
      <c r="C25" s="26"/>
      <c r="D25" s="118" t="s">
        <v>134</v>
      </c>
      <c r="E25" s="118"/>
      <c r="F25" s="118" t="s">
        <v>152</v>
      </c>
      <c r="G25" s="118"/>
      <c r="H25" s="118" t="s">
        <v>135</v>
      </c>
      <c r="I25" s="118"/>
      <c r="J25" s="118"/>
      <c r="K25" s="26"/>
      <c r="L25" s="30"/>
      <c r="M25" s="175"/>
      <c r="N25" s="175"/>
      <c r="O25" s="25"/>
      <c r="P25" s="5"/>
    </row>
    <row r="26" spans="1:16" ht="15.6" x14ac:dyDescent="0.3">
      <c r="A26" s="24"/>
      <c r="B26" s="143" t="s">
        <v>164</v>
      </c>
      <c r="C26" s="26"/>
      <c r="D26" s="118" t="s">
        <v>134</v>
      </c>
      <c r="E26" s="118"/>
      <c r="F26" s="118" t="s">
        <v>152</v>
      </c>
      <c r="G26" s="118"/>
      <c r="H26" s="118" t="s">
        <v>135</v>
      </c>
      <c r="I26" s="118"/>
      <c r="J26" s="118"/>
      <c r="K26" s="26"/>
      <c r="L26" s="30"/>
      <c r="M26" s="175"/>
      <c r="N26" s="175"/>
      <c r="O26" s="25"/>
      <c r="P26" s="5"/>
    </row>
    <row r="27" spans="1:16" ht="15.6" x14ac:dyDescent="0.3">
      <c r="A27" s="24"/>
      <c r="B27" s="25" t="s">
        <v>8</v>
      </c>
      <c r="C27" s="32"/>
      <c r="D27" s="26" t="s">
        <v>218</v>
      </c>
      <c r="E27" s="26"/>
      <c r="F27" s="26" t="s">
        <v>219</v>
      </c>
      <c r="G27" s="26"/>
      <c r="H27" s="26" t="s">
        <v>220</v>
      </c>
      <c r="I27" s="26"/>
      <c r="J27" s="26"/>
      <c r="K27" s="31"/>
      <c r="L27" s="31"/>
      <c r="M27" s="176"/>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162628.587</v>
      </c>
      <c r="E29" s="31"/>
      <c r="F29" s="31">
        <f>F28*F32</f>
        <v>4050</v>
      </c>
      <c r="G29" s="31"/>
      <c r="H29" s="31">
        <f>H28*H32</f>
        <v>4050</v>
      </c>
      <c r="I29" s="31"/>
      <c r="J29" s="119"/>
      <c r="K29" s="31"/>
      <c r="L29" s="31"/>
      <c r="M29" s="176"/>
      <c r="N29" s="31">
        <f>SUM(D29:H29)</f>
        <v>170728.587</v>
      </c>
      <c r="O29" s="34"/>
      <c r="P29" s="5"/>
    </row>
    <row r="30" spans="1:16" ht="15.6" x14ac:dyDescent="0.3">
      <c r="A30" s="24"/>
      <c r="B30" s="29" t="s">
        <v>130</v>
      </c>
      <c r="C30" s="32"/>
      <c r="D30" s="35">
        <f>D28*D31</f>
        <v>153525.20610000001</v>
      </c>
      <c r="E30" s="35"/>
      <c r="F30" s="35">
        <f>F28*F31</f>
        <v>4050</v>
      </c>
      <c r="G30" s="35"/>
      <c r="H30" s="35">
        <f>H28*H31</f>
        <v>4050</v>
      </c>
      <c r="I30" s="35"/>
      <c r="J30" s="120"/>
      <c r="K30" s="31"/>
      <c r="L30" s="31"/>
      <c r="M30" s="176"/>
      <c r="N30" s="145">
        <f>SUM(D30:I30)</f>
        <v>161625.20610000001</v>
      </c>
      <c r="O30" s="34"/>
      <c r="P30" s="5"/>
    </row>
    <row r="31" spans="1:16" ht="15.6" x14ac:dyDescent="0.3">
      <c r="A31" s="24"/>
      <c r="B31" s="117" t="s">
        <v>126</v>
      </c>
      <c r="C31" s="25"/>
      <c r="D31" s="171">
        <v>0.58934819999999999</v>
      </c>
      <c r="E31" s="171"/>
      <c r="F31" s="171">
        <v>1</v>
      </c>
      <c r="G31" s="171"/>
      <c r="H31" s="171">
        <v>1</v>
      </c>
      <c r="I31" s="128"/>
      <c r="J31" s="128"/>
      <c r="K31" s="30"/>
      <c r="L31" s="30"/>
      <c r="M31" s="175"/>
      <c r="N31" s="175"/>
      <c r="O31" s="25"/>
      <c r="P31" s="5"/>
    </row>
    <row r="32" spans="1:16" ht="15.6" x14ac:dyDescent="0.3">
      <c r="A32" s="24"/>
      <c r="B32" s="117" t="s">
        <v>127</v>
      </c>
      <c r="C32" s="25"/>
      <c r="D32" s="171">
        <v>0.62429400000000002</v>
      </c>
      <c r="E32" s="171"/>
      <c r="F32" s="171">
        <v>1</v>
      </c>
      <c r="G32" s="171"/>
      <c r="H32" s="171">
        <v>1</v>
      </c>
      <c r="I32" s="128"/>
      <c r="J32" s="128"/>
      <c r="K32" s="39"/>
      <c r="L32" s="38"/>
      <c r="M32" s="175"/>
      <c r="N32" s="39"/>
      <c r="O32" s="25"/>
      <c r="P32" s="5"/>
    </row>
    <row r="33" spans="1:17" ht="15.6" x14ac:dyDescent="0.3">
      <c r="A33" s="24"/>
      <c r="B33" s="25" t="s">
        <v>9</v>
      </c>
      <c r="C33" s="25"/>
      <c r="D33" s="30" t="s">
        <v>192</v>
      </c>
      <c r="E33" s="30"/>
      <c r="F33" s="30" t="s">
        <v>194</v>
      </c>
      <c r="G33" s="30"/>
      <c r="H33" s="30" t="s">
        <v>196</v>
      </c>
      <c r="I33" s="30"/>
      <c r="J33" s="30"/>
      <c r="K33" s="39"/>
      <c r="L33" s="38"/>
      <c r="M33" s="175"/>
      <c r="N33" s="175"/>
      <c r="O33" s="25"/>
      <c r="P33" s="5"/>
    </row>
    <row r="34" spans="1:17" ht="15.6" x14ac:dyDescent="0.3">
      <c r="A34" s="24"/>
      <c r="B34" s="25" t="s">
        <v>10</v>
      </c>
      <c r="C34" s="25"/>
      <c r="D34" s="38">
        <v>6.0749999999999998E-2</v>
      </c>
      <c r="E34" s="39"/>
      <c r="F34" s="38">
        <v>6.1350000000000002E-2</v>
      </c>
      <c r="G34" s="39"/>
      <c r="H34" s="38">
        <v>6.2350000000000003E-2</v>
      </c>
      <c r="I34" s="39"/>
      <c r="J34" s="38"/>
      <c r="K34" s="39"/>
      <c r="L34" s="38"/>
      <c r="M34" s="175"/>
      <c r="N34" s="39">
        <f>SUMPRODUCT(D34:H34,D29:H29)/N29</f>
        <v>6.0802188096654254E-2</v>
      </c>
      <c r="O34" s="25"/>
      <c r="P34" s="5"/>
    </row>
    <row r="35" spans="1:17" ht="15.6" x14ac:dyDescent="0.3">
      <c r="A35" s="24"/>
      <c r="B35" s="25" t="s">
        <v>11</v>
      </c>
      <c r="C35" s="25"/>
      <c r="D35" s="38">
        <v>6.0787500000000001E-2</v>
      </c>
      <c r="E35" s="39"/>
      <c r="F35" s="38">
        <v>6.1387499999999998E-2</v>
      </c>
      <c r="G35" s="39"/>
      <c r="H35" s="38">
        <v>6.2387499999999999E-2</v>
      </c>
      <c r="I35" s="38"/>
      <c r="J35" s="38"/>
      <c r="K35" s="39"/>
      <c r="L35" s="38"/>
      <c r="M35" s="175"/>
      <c r="N35" s="39" t="s">
        <v>165</v>
      </c>
      <c r="O35" s="25"/>
      <c r="P35" s="5"/>
    </row>
    <row r="36" spans="1:17" ht="15.6" x14ac:dyDescent="0.3">
      <c r="A36" s="24"/>
      <c r="B36" s="25" t="s">
        <v>12</v>
      </c>
      <c r="C36" s="25"/>
      <c r="D36" s="105">
        <v>40617</v>
      </c>
      <c r="E36" s="105"/>
      <c r="F36" s="105">
        <v>40617</v>
      </c>
      <c r="G36" s="105"/>
      <c r="H36" s="105">
        <v>40617</v>
      </c>
      <c r="I36" s="105"/>
      <c r="J36" s="105"/>
      <c r="K36" s="30"/>
      <c r="L36" s="30"/>
      <c r="M36" s="175"/>
      <c r="N36" s="175"/>
      <c r="O36" s="25"/>
      <c r="P36" s="5"/>
    </row>
    <row r="37" spans="1:17" ht="15.6" x14ac:dyDescent="0.3">
      <c r="A37" s="24"/>
      <c r="B37" s="25" t="s">
        <v>13</v>
      </c>
      <c r="C37" s="25"/>
      <c r="D37" s="105">
        <v>40983</v>
      </c>
      <c r="E37" s="30"/>
      <c r="F37" s="105">
        <v>40983</v>
      </c>
      <c r="G37" s="30"/>
      <c r="H37" s="105">
        <v>40983</v>
      </c>
      <c r="I37" s="30"/>
      <c r="J37" s="105"/>
      <c r="K37" s="30"/>
      <c r="L37" s="30"/>
      <c r="M37" s="175"/>
      <c r="N37" s="175"/>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0"/>
      <c r="G39" s="30"/>
      <c r="H39" s="30"/>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5.2760065957664262E-2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39706</v>
      </c>
      <c r="O45" s="25"/>
      <c r="P45" s="5"/>
    </row>
    <row r="46" spans="1:17" ht="15.6" x14ac:dyDescent="0.3">
      <c r="A46" s="24"/>
      <c r="B46" s="25" t="s">
        <v>119</v>
      </c>
      <c r="C46" s="25"/>
      <c r="D46" s="56"/>
      <c r="E46" s="56"/>
      <c r="F46" s="56"/>
      <c r="G46" s="56"/>
      <c r="H46" s="56"/>
      <c r="I46" s="56"/>
      <c r="J46" s="25">
        <f>+N46-L46+1</f>
        <v>91</v>
      </c>
      <c r="K46" s="56"/>
      <c r="L46" s="44">
        <v>39524</v>
      </c>
      <c r="M46" s="45"/>
      <c r="N46" s="44">
        <v>39614</v>
      </c>
      <c r="O46" s="25"/>
      <c r="P46" s="5"/>
    </row>
    <row r="47" spans="1:17" ht="15.6" x14ac:dyDescent="0.3">
      <c r="A47" s="24"/>
      <c r="B47" s="25" t="s">
        <v>120</v>
      </c>
      <c r="C47" s="25"/>
      <c r="D47" s="25"/>
      <c r="E47" s="25"/>
      <c r="F47" s="25"/>
      <c r="G47" s="25"/>
      <c r="H47" s="25"/>
      <c r="I47" s="25"/>
      <c r="J47" s="25">
        <f>+N47-L47+1</f>
        <v>91</v>
      </c>
      <c r="K47" s="25"/>
      <c r="L47" s="44">
        <v>39615</v>
      </c>
      <c r="M47" s="45"/>
      <c r="N47" s="44">
        <v>39705</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39692</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247</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170729</v>
      </c>
      <c r="G57" s="34"/>
      <c r="H57" s="34">
        <f>9103+2295+693+1</f>
        <v>12092</v>
      </c>
      <c r="I57" s="34"/>
      <c r="J57" s="34">
        <f>2295+693</f>
        <v>2988</v>
      </c>
      <c r="K57" s="34"/>
      <c r="L57" s="34">
        <v>0</v>
      </c>
      <c r="M57" s="34"/>
      <c r="N57" s="52">
        <f>+F57-H57+J57-L57</f>
        <v>161625</v>
      </c>
      <c r="O57" s="25"/>
      <c r="P57" s="5"/>
    </row>
    <row r="58" spans="1:16" ht="15.6" x14ac:dyDescent="0.3">
      <c r="A58" s="24"/>
      <c r="B58" s="25" t="s">
        <v>209</v>
      </c>
      <c r="C58" s="34"/>
      <c r="D58" s="34">
        <v>756</v>
      </c>
      <c r="E58" s="34"/>
      <c r="F58" s="52">
        <v>562</v>
      </c>
      <c r="G58" s="34"/>
      <c r="H58" s="34">
        <v>27</v>
      </c>
      <c r="I58" s="34"/>
      <c r="J58" s="34">
        <v>0</v>
      </c>
      <c r="K58" s="34"/>
      <c r="L58" s="34">
        <v>0</v>
      </c>
      <c r="M58" s="34"/>
      <c r="N58" s="52">
        <f>+F58-H58</f>
        <v>535</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171291</v>
      </c>
      <c r="G60" s="34"/>
      <c r="H60" s="34">
        <f>SUM(H57:H59)</f>
        <v>12119</v>
      </c>
      <c r="I60" s="34"/>
      <c r="J60" s="34">
        <f>SUM(J57:J59)</f>
        <v>2988</v>
      </c>
      <c r="K60" s="34"/>
      <c r="L60" s="34">
        <f>SUM(L57:L59)</f>
        <v>0</v>
      </c>
      <c r="M60" s="34"/>
      <c r="N60" s="53">
        <f>SUM(N57:N59)</f>
        <v>162160</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-562</v>
      </c>
      <c r="G69" s="34"/>
      <c r="H69" s="34"/>
      <c r="I69" s="34"/>
      <c r="J69" s="34"/>
      <c r="K69" s="34"/>
      <c r="L69" s="34"/>
      <c r="M69" s="34"/>
      <c r="N69" s="52">
        <f>-N58</f>
        <v>-535</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0</v>
      </c>
      <c r="G71" s="34"/>
      <c r="H71" s="34">
        <v>0</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170729</v>
      </c>
      <c r="G73" s="34"/>
      <c r="H73" s="34"/>
      <c r="I73" s="34"/>
      <c r="J73" s="34"/>
      <c r="K73" s="34"/>
      <c r="L73" s="53"/>
      <c r="M73" s="34"/>
      <c r="N73" s="53">
        <f>SUM(N60:N72)</f>
        <v>161625</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+L184</f>
        <v>39691</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0</v>
      </c>
      <c r="M77" s="25"/>
      <c r="N77" s="52">
        <v>0</v>
      </c>
      <c r="O77" s="25"/>
      <c r="P77" s="5"/>
    </row>
    <row r="78" spans="1:16" ht="15.6" x14ac:dyDescent="0.3">
      <c r="A78" s="24"/>
      <c r="B78" s="25" t="s">
        <v>27</v>
      </c>
      <c r="C78" s="25"/>
      <c r="D78" s="40"/>
      <c r="E78" s="25"/>
      <c r="F78" s="121"/>
      <c r="G78" s="25"/>
      <c r="H78" s="25"/>
      <c r="I78" s="25"/>
      <c r="J78" s="25"/>
      <c r="K78" s="25"/>
      <c r="L78" s="34">
        <v>12092</v>
      </c>
      <c r="M78" s="25"/>
      <c r="N78" s="52"/>
      <c r="O78" s="25"/>
      <c r="P78" s="5"/>
    </row>
    <row r="79" spans="1:16" ht="15.6" x14ac:dyDescent="0.3">
      <c r="A79" s="24"/>
      <c r="B79" s="25" t="s">
        <v>176</v>
      </c>
      <c r="C79" s="25"/>
      <c r="D79" s="40"/>
      <c r="E79" s="25"/>
      <c r="F79" s="121"/>
      <c r="G79" s="25"/>
      <c r="H79" s="25"/>
      <c r="I79" s="25"/>
      <c r="J79" s="25"/>
      <c r="K79" s="25"/>
      <c r="L79" s="34"/>
      <c r="M79" s="25"/>
      <c r="N79" s="52">
        <f>4094+283+1969-4661-80-645</f>
        <v>960</v>
      </c>
      <c r="O79" s="25"/>
      <c r="P79" s="5"/>
    </row>
    <row r="80" spans="1:16" ht="15.6" x14ac:dyDescent="0.3">
      <c r="A80" s="24"/>
      <c r="B80" s="25" t="s">
        <v>174</v>
      </c>
      <c r="C80" s="25"/>
      <c r="D80" s="40"/>
      <c r="E80" s="25"/>
      <c r="F80" s="121"/>
      <c r="G80" s="25"/>
      <c r="H80" s="25"/>
      <c r="I80" s="25"/>
      <c r="J80" s="25"/>
      <c r="K80" s="25"/>
      <c r="L80" s="34"/>
      <c r="M80" s="25"/>
      <c r="N80" s="52">
        <f>60+3+55</f>
        <v>118</v>
      </c>
      <c r="O80" s="25"/>
      <c r="P80" s="5"/>
    </row>
    <row r="81" spans="1:17" ht="15.6" x14ac:dyDescent="0.3">
      <c r="A81" s="24"/>
      <c r="B81" s="25" t="s">
        <v>175</v>
      </c>
      <c r="C81" s="25"/>
      <c r="D81" s="40"/>
      <c r="E81" s="25"/>
      <c r="F81" s="121"/>
      <c r="G81" s="25"/>
      <c r="H81" s="25"/>
      <c r="I81" s="25"/>
      <c r="J81" s="25"/>
      <c r="K81" s="25"/>
      <c r="L81" s="34"/>
      <c r="M81" s="25"/>
      <c r="N81" s="52">
        <v>113</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0</v>
      </c>
      <c r="O83" s="25"/>
      <c r="P83" s="5"/>
    </row>
    <row r="84" spans="1:17" ht="15.6" x14ac:dyDescent="0.3">
      <c r="A84" s="24"/>
      <c r="B84" s="25" t="s">
        <v>28</v>
      </c>
      <c r="C84" s="25"/>
      <c r="D84" s="25"/>
      <c r="E84" s="25"/>
      <c r="F84" s="25"/>
      <c r="G84" s="25"/>
      <c r="H84" s="25"/>
      <c r="I84" s="25"/>
      <c r="J84" s="25"/>
      <c r="K84" s="25"/>
      <c r="L84" s="34">
        <f>SUM(L77:L83)</f>
        <v>12092</v>
      </c>
      <c r="M84" s="25"/>
      <c r="N84" s="53">
        <f>SUM(N77:N83)</f>
        <v>1191</v>
      </c>
      <c r="O84" s="25"/>
      <c r="P84" s="5"/>
    </row>
    <row r="85" spans="1:17" ht="15.6" x14ac:dyDescent="0.3">
      <c r="A85" s="24"/>
      <c r="B85" s="25" t="s">
        <v>148</v>
      </c>
      <c r="C85" s="25"/>
      <c r="D85" s="25"/>
      <c r="E85" s="25"/>
      <c r="F85" s="25"/>
      <c r="G85" s="25"/>
      <c r="H85" s="25"/>
      <c r="I85" s="25"/>
      <c r="J85" s="25"/>
      <c r="K85" s="25"/>
      <c r="L85" s="34">
        <v>-2295</v>
      </c>
      <c r="M85" s="25"/>
      <c r="N85" s="53">
        <f>-L85</f>
        <v>2295</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244</v>
      </c>
      <c r="C87" s="25"/>
      <c r="D87" s="25"/>
      <c r="E87" s="25"/>
      <c r="F87" s="25"/>
      <c r="G87" s="25"/>
      <c r="H87" s="25"/>
      <c r="I87" s="25"/>
      <c r="J87" s="25"/>
      <c r="K87" s="25"/>
      <c r="L87" s="34"/>
      <c r="M87" s="25"/>
      <c r="N87" s="52">
        <v>0</v>
      </c>
      <c r="O87" s="25"/>
      <c r="P87" s="5"/>
    </row>
    <row r="88" spans="1:17" ht="15.6" x14ac:dyDescent="0.3">
      <c r="A88" s="24"/>
      <c r="B88" s="25" t="s">
        <v>30</v>
      </c>
      <c r="C88" s="25"/>
      <c r="D88" s="25"/>
      <c r="E88" s="25"/>
      <c r="F88" s="25"/>
      <c r="G88" s="25"/>
      <c r="H88" s="25"/>
      <c r="I88" s="25"/>
      <c r="J88" s="25"/>
      <c r="K88" s="25"/>
      <c r="L88" s="34">
        <f>L84+L86+L85</f>
        <v>9797</v>
      </c>
      <c r="M88" s="25"/>
      <c r="N88" s="53">
        <f>N84+N86+N85+N87</f>
        <v>3486</v>
      </c>
      <c r="O88" s="25"/>
      <c r="P88" s="5"/>
    </row>
    <row r="89" spans="1:17" ht="15.6" x14ac:dyDescent="0.3">
      <c r="A89" s="24"/>
      <c r="B89" s="113" t="s">
        <v>31</v>
      </c>
      <c r="C89" s="25"/>
      <c r="D89" s="25"/>
      <c r="E89" s="25"/>
      <c r="F89" s="25"/>
      <c r="G89" s="25"/>
      <c r="H89" s="25"/>
      <c r="I89" s="25"/>
      <c r="J89" s="25"/>
      <c r="K89" s="25"/>
      <c r="L89" s="34"/>
      <c r="M89" s="25"/>
      <c r="N89" s="52"/>
      <c r="O89" s="25"/>
      <c r="P89" s="5"/>
    </row>
    <row r="90" spans="1:17" ht="15.6" x14ac:dyDescent="0.3">
      <c r="A90" s="24">
        <v>1</v>
      </c>
      <c r="B90" s="25" t="s">
        <v>32</v>
      </c>
      <c r="C90" s="25"/>
      <c r="D90" s="25"/>
      <c r="E90" s="25"/>
      <c r="F90" s="25"/>
      <c r="G90" s="25"/>
      <c r="H90" s="25"/>
      <c r="I90" s="25"/>
      <c r="J90" s="25"/>
      <c r="K90" s="25"/>
      <c r="L90" s="25"/>
      <c r="M90" s="25"/>
      <c r="N90" s="52">
        <v>0</v>
      </c>
      <c r="O90" s="25"/>
      <c r="P90" s="5"/>
    </row>
    <row r="91" spans="1:17" ht="15.6" x14ac:dyDescent="0.3">
      <c r="A91" s="24">
        <f>+A90+1</f>
        <v>2</v>
      </c>
      <c r="B91" s="25" t="s">
        <v>224</v>
      </c>
      <c r="C91" s="25"/>
      <c r="D91" s="25"/>
      <c r="E91" s="25"/>
      <c r="F91" s="25"/>
      <c r="G91" s="25"/>
      <c r="H91" s="25"/>
      <c r="I91" s="25"/>
      <c r="J91" s="25"/>
      <c r="K91" s="25"/>
      <c r="L91" s="25"/>
      <c r="M91" s="25"/>
      <c r="N91" s="52">
        <v>-2</v>
      </c>
      <c r="O91" s="25"/>
      <c r="P91" s="5"/>
    </row>
    <row r="92" spans="1:17" ht="15.6" x14ac:dyDescent="0.3">
      <c r="A92" s="24">
        <f>+A91+1</f>
        <v>3</v>
      </c>
      <c r="B92" s="25" t="s">
        <v>235</v>
      </c>
      <c r="C92" s="25"/>
      <c r="D92" s="25"/>
      <c r="E92" s="25"/>
      <c r="F92" s="25"/>
      <c r="G92" s="25"/>
      <c r="H92" s="25"/>
      <c r="I92" s="25"/>
      <c r="J92" s="25"/>
      <c r="K92" s="25"/>
      <c r="L92" s="25"/>
      <c r="M92" s="25"/>
      <c r="N92" s="52">
        <f>-65-6-2-12</f>
        <v>-85</v>
      </c>
      <c r="O92" s="25"/>
      <c r="P92" s="5"/>
    </row>
    <row r="93" spans="1:17" ht="15.6" x14ac:dyDescent="0.3">
      <c r="A93" s="24" t="s">
        <v>123</v>
      </c>
      <c r="B93" s="25" t="s">
        <v>116</v>
      </c>
      <c r="C93" s="25"/>
      <c r="D93" s="25"/>
      <c r="E93" s="25"/>
      <c r="F93" s="25"/>
      <c r="G93" s="25"/>
      <c r="H93" s="25"/>
      <c r="I93" s="25"/>
      <c r="J93" s="25"/>
      <c r="K93" s="25"/>
      <c r="L93" s="25"/>
      <c r="M93" s="25"/>
      <c r="N93" s="52">
        <v>0</v>
      </c>
      <c r="O93" s="25"/>
      <c r="P93" s="5"/>
    </row>
    <row r="94" spans="1:17" ht="15.6" x14ac:dyDescent="0.3">
      <c r="A94" s="24" t="s">
        <v>124</v>
      </c>
      <c r="B94" s="25" t="s">
        <v>214</v>
      </c>
      <c r="C94" s="25"/>
      <c r="D94" s="25"/>
      <c r="E94" s="25"/>
      <c r="F94" s="25"/>
      <c r="G94" s="25"/>
      <c r="H94" s="25"/>
      <c r="I94" s="25"/>
      <c r="J94" s="25"/>
      <c r="K94" s="25"/>
      <c r="L94" s="25"/>
      <c r="M94" s="25"/>
      <c r="N94" s="52">
        <v>-2463</v>
      </c>
      <c r="O94" s="25"/>
      <c r="P94" s="5"/>
    </row>
    <row r="95" spans="1:17" ht="15.6" x14ac:dyDescent="0.3">
      <c r="A95" s="24" t="s">
        <v>140</v>
      </c>
      <c r="B95" s="25" t="s">
        <v>180</v>
      </c>
      <c r="C95" s="25"/>
      <c r="D95" s="25"/>
      <c r="E95" s="25"/>
      <c r="F95" s="25"/>
      <c r="G95" s="25"/>
      <c r="H95" s="25"/>
      <c r="I95" s="25"/>
      <c r="J95" s="25"/>
      <c r="K95" s="25"/>
      <c r="L95" s="25"/>
      <c r="M95" s="25"/>
      <c r="N95" s="52">
        <v>-1</v>
      </c>
      <c r="O95" s="25"/>
      <c r="P95" s="5"/>
    </row>
    <row r="96" spans="1:17" ht="15.6" x14ac:dyDescent="0.3">
      <c r="A96" s="24" t="s">
        <v>169</v>
      </c>
      <c r="B96" s="25" t="s">
        <v>215</v>
      </c>
      <c r="C96" s="25"/>
      <c r="D96" s="25"/>
      <c r="E96" s="25"/>
      <c r="F96" s="25"/>
      <c r="G96" s="25"/>
      <c r="H96" s="25"/>
      <c r="I96" s="25"/>
      <c r="J96" s="25"/>
      <c r="K96" s="25"/>
      <c r="L96" s="25"/>
      <c r="M96" s="25"/>
      <c r="N96" s="52">
        <v>-62</v>
      </c>
      <c r="O96" s="25"/>
      <c r="P96" s="5"/>
      <c r="Q96" s="104"/>
    </row>
    <row r="97" spans="1:17" ht="15.6" x14ac:dyDescent="0.3">
      <c r="A97" s="24" t="s">
        <v>170</v>
      </c>
      <c r="B97" s="25" t="s">
        <v>216</v>
      </c>
      <c r="C97" s="25"/>
      <c r="D97" s="25"/>
      <c r="E97" s="25"/>
      <c r="F97" s="25"/>
      <c r="G97" s="25"/>
      <c r="H97" s="25"/>
      <c r="I97" s="25"/>
      <c r="J97" s="25"/>
      <c r="K97" s="25"/>
      <c r="L97" s="25"/>
      <c r="M97" s="25"/>
      <c r="N97" s="52">
        <v>-63</v>
      </c>
      <c r="O97" s="25"/>
      <c r="P97" s="5"/>
      <c r="Q97" s="104"/>
    </row>
    <row r="98" spans="1:17" ht="15.6" x14ac:dyDescent="0.3">
      <c r="A98" s="24">
        <v>7</v>
      </c>
      <c r="B98" s="25" t="s">
        <v>33</v>
      </c>
      <c r="C98" s="25"/>
      <c r="D98" s="25"/>
      <c r="E98" s="25"/>
      <c r="F98" s="25"/>
      <c r="G98" s="25"/>
      <c r="H98" s="25"/>
      <c r="I98" s="25"/>
      <c r="J98" s="25"/>
      <c r="K98" s="25"/>
      <c r="L98" s="25"/>
      <c r="M98" s="25"/>
      <c r="N98" s="52">
        <v>-9</v>
      </c>
      <c r="O98" s="25"/>
      <c r="P98" s="5"/>
    </row>
    <row r="99" spans="1:17" ht="15.6" x14ac:dyDescent="0.3">
      <c r="A99" s="24">
        <f t="shared" ref="A99:A105" si="0">+A98+1</f>
        <v>8</v>
      </c>
      <c r="B99" s="25" t="s">
        <v>42</v>
      </c>
      <c r="C99" s="25"/>
      <c r="D99" s="25"/>
      <c r="E99" s="25"/>
      <c r="F99" s="25"/>
      <c r="G99" s="25"/>
      <c r="H99" s="25"/>
      <c r="I99" s="25"/>
      <c r="J99" s="25"/>
      <c r="K99" s="25"/>
      <c r="L99" s="34">
        <f>-N99</f>
        <v>0</v>
      </c>
      <c r="M99" s="25"/>
      <c r="N99" s="52">
        <v>0</v>
      </c>
      <c r="O99" s="25"/>
      <c r="P99" s="5"/>
    </row>
    <row r="100" spans="1:17" ht="15.6" x14ac:dyDescent="0.3">
      <c r="A100" s="24">
        <f t="shared" si="0"/>
        <v>9</v>
      </c>
      <c r="B100" s="25" t="s">
        <v>121</v>
      </c>
      <c r="C100" s="25"/>
      <c r="D100" s="25"/>
      <c r="E100" s="25"/>
      <c r="F100" s="25"/>
      <c r="G100" s="25"/>
      <c r="H100" s="25"/>
      <c r="I100" s="25"/>
      <c r="J100" s="25"/>
      <c r="K100" s="25"/>
      <c r="L100" s="25"/>
      <c r="M100" s="25"/>
      <c r="N100" s="52">
        <v>0</v>
      </c>
      <c r="O100" s="25"/>
      <c r="P100" s="5"/>
    </row>
    <row r="101" spans="1:17" ht="15.6" x14ac:dyDescent="0.3">
      <c r="A101" s="24">
        <f t="shared" si="0"/>
        <v>10</v>
      </c>
      <c r="B101" s="25" t="s">
        <v>182</v>
      </c>
      <c r="C101" s="25"/>
      <c r="D101" s="25"/>
      <c r="E101" s="25"/>
      <c r="F101" s="25"/>
      <c r="G101" s="25"/>
      <c r="H101" s="25"/>
      <c r="I101" s="25"/>
      <c r="J101" s="25"/>
      <c r="K101" s="25"/>
      <c r="L101" s="25"/>
      <c r="M101" s="25"/>
      <c r="N101" s="52">
        <v>0</v>
      </c>
      <c r="O101" s="25"/>
      <c r="P101" s="5"/>
    </row>
    <row r="102" spans="1:17" ht="15.6" x14ac:dyDescent="0.3">
      <c r="A102" s="24">
        <f t="shared" si="0"/>
        <v>11</v>
      </c>
      <c r="B102" s="25" t="s">
        <v>34</v>
      </c>
      <c r="C102" s="25"/>
      <c r="D102" s="25"/>
      <c r="E102" s="25"/>
      <c r="F102" s="25"/>
      <c r="G102" s="25"/>
      <c r="H102" s="25"/>
      <c r="I102" s="25"/>
      <c r="J102" s="25"/>
      <c r="K102" s="25"/>
      <c r="L102" s="25"/>
      <c r="M102" s="25"/>
      <c r="N102" s="52">
        <v>0</v>
      </c>
      <c r="O102" s="25"/>
      <c r="P102" s="5"/>
    </row>
    <row r="103" spans="1:17" ht="15.6" x14ac:dyDescent="0.3">
      <c r="A103" s="24">
        <f t="shared" si="0"/>
        <v>12</v>
      </c>
      <c r="B103" s="25" t="s">
        <v>181</v>
      </c>
      <c r="C103" s="25"/>
      <c r="D103" s="25"/>
      <c r="E103" s="25"/>
      <c r="F103" s="25"/>
      <c r="G103" s="25"/>
      <c r="H103" s="25"/>
      <c r="I103" s="25"/>
      <c r="J103" s="25"/>
      <c r="K103" s="25"/>
      <c r="L103" s="25"/>
      <c r="M103" s="25"/>
      <c r="N103" s="52">
        <v>0</v>
      </c>
      <c r="O103" s="25"/>
      <c r="P103" s="5"/>
    </row>
    <row r="104" spans="1:17" ht="15.6" x14ac:dyDescent="0.3">
      <c r="A104" s="24">
        <f t="shared" si="0"/>
        <v>13</v>
      </c>
      <c r="B104" s="25" t="s">
        <v>139</v>
      </c>
      <c r="C104" s="25"/>
      <c r="D104" s="25"/>
      <c r="E104" s="25"/>
      <c r="F104" s="25"/>
      <c r="G104" s="25"/>
      <c r="H104" s="25"/>
      <c r="I104" s="25"/>
      <c r="J104" s="25"/>
      <c r="K104" s="25"/>
      <c r="L104" s="25"/>
      <c r="M104" s="25"/>
      <c r="N104" s="52">
        <v>-65</v>
      </c>
      <c r="O104" s="25"/>
      <c r="P104" s="5"/>
    </row>
    <row r="105" spans="1:17" ht="15.6" x14ac:dyDescent="0.3">
      <c r="A105" s="24">
        <f t="shared" si="0"/>
        <v>14</v>
      </c>
      <c r="B105" s="25" t="s">
        <v>122</v>
      </c>
      <c r="C105" s="25"/>
      <c r="D105" s="25"/>
      <c r="E105" s="25"/>
      <c r="F105" s="25"/>
      <c r="G105" s="25"/>
      <c r="H105" s="25"/>
      <c r="I105" s="25"/>
      <c r="J105" s="25"/>
      <c r="K105" s="25"/>
      <c r="L105" s="25"/>
      <c r="M105" s="25"/>
      <c r="N105" s="52">
        <f>-N88-SUM(N90:N104)</f>
        <v>-736</v>
      </c>
      <c r="O105" s="25"/>
      <c r="P105" s="5"/>
    </row>
    <row r="106" spans="1:17" ht="15.6" x14ac:dyDescent="0.3">
      <c r="A106" s="24"/>
      <c r="B106" s="113" t="s">
        <v>35</v>
      </c>
      <c r="C106" s="25"/>
      <c r="D106" s="25"/>
      <c r="E106" s="25"/>
      <c r="F106" s="25"/>
      <c r="G106" s="25"/>
      <c r="H106" s="25"/>
      <c r="I106" s="25"/>
      <c r="J106" s="25"/>
      <c r="K106" s="25"/>
      <c r="L106" s="25"/>
      <c r="M106" s="25"/>
      <c r="N106" s="57"/>
      <c r="O106" s="25"/>
      <c r="P106" s="5"/>
    </row>
    <row r="107" spans="1:17" ht="15.6" x14ac:dyDescent="0.3">
      <c r="A107" s="24"/>
      <c r="B107" s="25" t="s">
        <v>160</v>
      </c>
      <c r="C107" s="25"/>
      <c r="D107" s="25"/>
      <c r="E107" s="25"/>
      <c r="F107" s="25"/>
      <c r="G107" s="25"/>
      <c r="H107" s="25"/>
      <c r="I107" s="25"/>
      <c r="J107" s="25"/>
      <c r="K107" s="25"/>
      <c r="L107" s="34">
        <v>0</v>
      </c>
      <c r="M107" s="34"/>
      <c r="N107" s="52"/>
      <c r="O107" s="25"/>
      <c r="P107" s="5"/>
    </row>
    <row r="108" spans="1:17" ht="15.6" x14ac:dyDescent="0.3">
      <c r="A108" s="24"/>
      <c r="B108" s="25" t="s">
        <v>161</v>
      </c>
      <c r="C108" s="25"/>
      <c r="D108" s="25"/>
      <c r="E108" s="25"/>
      <c r="F108" s="25"/>
      <c r="G108" s="25"/>
      <c r="H108" s="25"/>
      <c r="I108" s="25"/>
      <c r="J108" s="25"/>
      <c r="K108" s="25"/>
      <c r="L108" s="34">
        <v>-693</v>
      </c>
      <c r="M108" s="34"/>
      <c r="N108" s="52"/>
      <c r="O108" s="25"/>
      <c r="P108" s="5"/>
    </row>
    <row r="109" spans="1:17" ht="15.6" x14ac:dyDescent="0.3">
      <c r="A109" s="24"/>
      <c r="B109" s="25" t="s">
        <v>200</v>
      </c>
      <c r="C109" s="25"/>
      <c r="D109" s="25"/>
      <c r="E109" s="25"/>
      <c r="F109" s="25"/>
      <c r="G109" s="25"/>
      <c r="H109" s="25"/>
      <c r="I109" s="25"/>
      <c r="J109" s="25"/>
      <c r="K109" s="25"/>
      <c r="L109" s="34">
        <v>-9104</v>
      </c>
      <c r="M109" s="34"/>
      <c r="N109" s="52"/>
      <c r="O109" s="25"/>
      <c r="P109" s="5"/>
    </row>
    <row r="110" spans="1:17" ht="15.6" x14ac:dyDescent="0.3">
      <c r="A110" s="24"/>
      <c r="B110" s="25" t="s">
        <v>201</v>
      </c>
      <c r="C110" s="25"/>
      <c r="D110" s="25"/>
      <c r="E110" s="25"/>
      <c r="F110" s="25"/>
      <c r="G110" s="25"/>
      <c r="H110" s="25"/>
      <c r="I110" s="25"/>
      <c r="J110" s="25"/>
      <c r="K110" s="25"/>
      <c r="L110" s="34">
        <v>0</v>
      </c>
      <c r="M110" s="34"/>
      <c r="N110" s="52"/>
      <c r="O110" s="25"/>
      <c r="P110" s="5"/>
    </row>
    <row r="111" spans="1:17" ht="15.6" x14ac:dyDescent="0.3">
      <c r="A111" s="24"/>
      <c r="B111" s="25" t="s">
        <v>202</v>
      </c>
      <c r="C111" s="25"/>
      <c r="D111" s="25"/>
      <c r="E111" s="25"/>
      <c r="F111" s="25"/>
      <c r="G111" s="25"/>
      <c r="H111" s="25"/>
      <c r="I111" s="25"/>
      <c r="J111" s="25"/>
      <c r="K111" s="25"/>
      <c r="L111" s="34">
        <v>0</v>
      </c>
      <c r="M111" s="34"/>
      <c r="N111" s="52"/>
      <c r="O111" s="25"/>
      <c r="P111" s="5"/>
    </row>
    <row r="112" spans="1:17" ht="15.6" x14ac:dyDescent="0.3">
      <c r="A112" s="24"/>
      <c r="B112" s="25" t="s">
        <v>36</v>
      </c>
      <c r="C112" s="25"/>
      <c r="D112" s="25"/>
      <c r="E112" s="25"/>
      <c r="F112" s="25"/>
      <c r="G112" s="25"/>
      <c r="H112" s="25"/>
      <c r="I112" s="25"/>
      <c r="J112" s="25"/>
      <c r="K112" s="25"/>
      <c r="L112" s="34">
        <f>SUM(L107:L111)</f>
        <v>-9797</v>
      </c>
      <c r="M112" s="34"/>
      <c r="N112" s="34">
        <f>SUM(N89:N110)</f>
        <v>-3486</v>
      </c>
      <c r="O112" s="25"/>
      <c r="P112" s="5"/>
    </row>
    <row r="113" spans="1:17" ht="15.6" x14ac:dyDescent="0.3">
      <c r="A113" s="24"/>
      <c r="B113" s="25" t="s">
        <v>37</v>
      </c>
      <c r="C113" s="25"/>
      <c r="D113" s="25"/>
      <c r="E113" s="25"/>
      <c r="F113" s="25"/>
      <c r="G113" s="25"/>
      <c r="H113" s="25"/>
      <c r="I113" s="25"/>
      <c r="J113" s="25"/>
      <c r="K113" s="25"/>
      <c r="L113" s="34">
        <f>L88+L112+L99</f>
        <v>0</v>
      </c>
      <c r="M113" s="34"/>
      <c r="N113" s="34">
        <f>N88+N112</f>
        <v>0</v>
      </c>
      <c r="O113" s="25"/>
      <c r="P113" s="5"/>
    </row>
    <row r="114" spans="1:17" ht="15.6" x14ac:dyDescent="0.3">
      <c r="A114" s="24"/>
      <c r="B114" s="25"/>
      <c r="C114" s="25"/>
      <c r="D114" s="25"/>
      <c r="E114" s="25"/>
      <c r="F114" s="25"/>
      <c r="G114" s="25"/>
      <c r="H114" s="25"/>
      <c r="I114" s="25"/>
      <c r="J114" s="25"/>
      <c r="K114" s="25"/>
      <c r="L114" s="34"/>
      <c r="M114" s="34"/>
      <c r="N114" s="34"/>
      <c r="O114" s="25"/>
      <c r="P114" s="5"/>
    </row>
    <row r="115" spans="1:17" ht="15.6" x14ac:dyDescent="0.3">
      <c r="A115" s="6"/>
      <c r="B115" s="8"/>
      <c r="C115" s="8"/>
      <c r="D115" s="8"/>
      <c r="E115" s="8"/>
      <c r="F115" s="8"/>
      <c r="G115" s="8"/>
      <c r="H115" s="8"/>
      <c r="I115" s="8"/>
      <c r="J115" s="8"/>
      <c r="K115" s="8"/>
      <c r="L115" s="8"/>
      <c r="M115" s="8"/>
      <c r="N115" s="51"/>
      <c r="O115" s="8"/>
      <c r="P115" s="5"/>
    </row>
    <row r="116" spans="1:17" ht="18" thickBot="1" x14ac:dyDescent="0.35">
      <c r="A116" s="96"/>
      <c r="B116" s="97" t="str">
        <f>B52</f>
        <v>FF7 INVESTOR REPORT QUARTER ENDING AUG 2008</v>
      </c>
      <c r="C116" s="98"/>
      <c r="D116" s="98"/>
      <c r="E116" s="98"/>
      <c r="F116" s="98"/>
      <c r="G116" s="98"/>
      <c r="H116" s="98"/>
      <c r="I116" s="98"/>
      <c r="J116" s="98"/>
      <c r="K116" s="98"/>
      <c r="L116" s="98"/>
      <c r="M116" s="98"/>
      <c r="N116" s="101"/>
      <c r="O116" s="100"/>
      <c r="P116" s="5"/>
    </row>
    <row r="117" spans="1:17" ht="15.6" x14ac:dyDescent="0.3">
      <c r="A117" s="2"/>
      <c r="B117" s="58" t="s">
        <v>38</v>
      </c>
      <c r="C117" s="4"/>
      <c r="D117" s="4"/>
      <c r="E117" s="4"/>
      <c r="F117" s="4"/>
      <c r="G117" s="4"/>
      <c r="H117" s="4"/>
      <c r="I117" s="4"/>
      <c r="J117" s="4"/>
      <c r="K117" s="4"/>
      <c r="L117" s="4"/>
      <c r="M117" s="4"/>
      <c r="N117" s="49"/>
      <c r="O117" s="4"/>
      <c r="P117" s="5"/>
    </row>
    <row r="118" spans="1:17" ht="15.6" x14ac:dyDescent="0.3">
      <c r="A118" s="6"/>
      <c r="B118" s="21"/>
      <c r="C118" s="8"/>
      <c r="D118" s="8"/>
      <c r="E118" s="8"/>
      <c r="F118" s="8"/>
      <c r="G118" s="8"/>
      <c r="H118" s="8"/>
      <c r="I118" s="8"/>
      <c r="J118" s="8"/>
      <c r="K118" s="8"/>
      <c r="L118" s="8"/>
      <c r="M118" s="8"/>
      <c r="N118" s="51"/>
      <c r="O118" s="8"/>
      <c r="P118" s="5"/>
    </row>
    <row r="119" spans="1:17" ht="15.6" x14ac:dyDescent="0.3">
      <c r="A119" s="6"/>
      <c r="B119" s="114" t="s">
        <v>39</v>
      </c>
      <c r="C119" s="8"/>
      <c r="D119" s="8"/>
      <c r="E119" s="8"/>
      <c r="F119" s="8"/>
      <c r="G119" s="8"/>
      <c r="H119" s="8"/>
      <c r="I119" s="8"/>
      <c r="J119" s="8"/>
      <c r="K119" s="8"/>
      <c r="L119" s="8"/>
      <c r="M119" s="8"/>
      <c r="N119" s="51"/>
      <c r="O119" s="8"/>
      <c r="P119" s="5"/>
    </row>
    <row r="120" spans="1:17" ht="15.6" x14ac:dyDescent="0.3">
      <c r="A120" s="24"/>
      <c r="B120" s="25" t="s">
        <v>40</v>
      </c>
      <c r="C120" s="25"/>
      <c r="D120" s="25"/>
      <c r="E120" s="25"/>
      <c r="F120" s="25"/>
      <c r="G120" s="25"/>
      <c r="H120" s="25"/>
      <c r="I120" s="25"/>
      <c r="J120" s="25"/>
      <c r="K120" s="25"/>
      <c r="L120" s="25"/>
      <c r="M120" s="25"/>
      <c r="N120" s="52">
        <f>N28*0.003</f>
        <v>805.80000000000007</v>
      </c>
      <c r="O120" s="25"/>
      <c r="P120" s="5"/>
    </row>
    <row r="121" spans="1:17" ht="15.6" x14ac:dyDescent="0.3">
      <c r="A121" s="24"/>
      <c r="B121" s="25" t="s">
        <v>41</v>
      </c>
      <c r="C121" s="25"/>
      <c r="D121" s="25"/>
      <c r="E121" s="25"/>
      <c r="F121" s="25"/>
      <c r="G121" s="25"/>
      <c r="H121" s="25"/>
      <c r="I121" s="25"/>
      <c r="J121" s="25"/>
      <c r="K121" s="25"/>
      <c r="L121" s="25"/>
      <c r="M121" s="25"/>
      <c r="N121" s="52">
        <v>806</v>
      </c>
      <c r="O121" s="25"/>
      <c r="P121" s="5"/>
    </row>
    <row r="122" spans="1:17" ht="15.6" x14ac:dyDescent="0.3">
      <c r="A122" s="24"/>
      <c r="B122" s="25" t="s">
        <v>132</v>
      </c>
      <c r="C122" s="25"/>
      <c r="D122" s="25"/>
      <c r="E122" s="25"/>
      <c r="F122" s="25"/>
      <c r="G122" s="25"/>
      <c r="H122" s="25"/>
      <c r="I122" s="25"/>
      <c r="J122" s="25"/>
      <c r="K122" s="25"/>
      <c r="L122" s="25"/>
      <c r="M122" s="25"/>
      <c r="N122" s="52">
        <v>0</v>
      </c>
      <c r="O122" s="25"/>
      <c r="P122" s="5"/>
    </row>
    <row r="123" spans="1:17" ht="15.6" x14ac:dyDescent="0.3">
      <c r="A123" s="24"/>
      <c r="B123" s="25" t="s">
        <v>221</v>
      </c>
      <c r="C123" s="25"/>
      <c r="D123" s="25"/>
      <c r="E123" s="25"/>
      <c r="F123" s="25"/>
      <c r="G123" s="25"/>
      <c r="H123" s="25"/>
      <c r="I123" s="25"/>
      <c r="J123" s="25"/>
      <c r="K123" s="25"/>
      <c r="L123" s="25"/>
      <c r="M123" s="25"/>
      <c r="N123" s="52">
        <v>0</v>
      </c>
      <c r="O123" s="25"/>
      <c r="P123" s="5"/>
    </row>
    <row r="124" spans="1:17" ht="15.6" x14ac:dyDescent="0.3">
      <c r="A124" s="24"/>
      <c r="B124" s="25" t="s">
        <v>222</v>
      </c>
      <c r="C124" s="25"/>
      <c r="D124" s="25"/>
      <c r="E124" s="25"/>
      <c r="F124" s="25"/>
      <c r="G124" s="25"/>
      <c r="H124" s="25"/>
      <c r="I124" s="25"/>
      <c r="J124" s="25"/>
      <c r="K124" s="25"/>
      <c r="L124" s="25"/>
      <c r="M124" s="25"/>
      <c r="N124" s="52">
        <v>0</v>
      </c>
      <c r="O124" s="25"/>
      <c r="P124" s="5"/>
    </row>
    <row r="125" spans="1:17" ht="15.6" x14ac:dyDescent="0.3">
      <c r="A125" s="24"/>
      <c r="B125" s="25" t="s">
        <v>223</v>
      </c>
      <c r="C125" s="25"/>
      <c r="D125" s="25"/>
      <c r="E125" s="25"/>
      <c r="F125" s="25"/>
      <c r="G125" s="25"/>
      <c r="H125" s="25"/>
      <c r="I125" s="25"/>
      <c r="J125" s="25"/>
      <c r="K125" s="25"/>
      <c r="L125" s="25"/>
      <c r="M125" s="25"/>
      <c r="N125" s="52">
        <v>0</v>
      </c>
      <c r="O125" s="25"/>
      <c r="P125" s="5"/>
    </row>
    <row r="126" spans="1:17" ht="15.6" x14ac:dyDescent="0.3">
      <c r="A126" s="24"/>
      <c r="B126" s="25" t="s">
        <v>42</v>
      </c>
      <c r="C126" s="25"/>
      <c r="D126" s="25"/>
      <c r="E126" s="25"/>
      <c r="F126" s="25"/>
      <c r="G126" s="25"/>
      <c r="H126" s="25"/>
      <c r="I126" s="25"/>
      <c r="J126" s="25"/>
      <c r="K126" s="25"/>
      <c r="L126" s="25"/>
      <c r="M126" s="25"/>
      <c r="N126" s="52">
        <v>0</v>
      </c>
      <c r="O126" s="25"/>
      <c r="P126" s="5"/>
    </row>
    <row r="127" spans="1:17" ht="15.6" x14ac:dyDescent="0.3">
      <c r="A127" s="24"/>
      <c r="B127" s="25" t="s">
        <v>125</v>
      </c>
      <c r="C127" s="25"/>
      <c r="D127" s="25"/>
      <c r="E127" s="25"/>
      <c r="F127" s="25"/>
      <c r="G127" s="25"/>
      <c r="H127" s="25"/>
      <c r="I127" s="25"/>
      <c r="J127" s="25"/>
      <c r="K127" s="25"/>
      <c r="L127" s="25"/>
      <c r="M127" s="25"/>
      <c r="N127" s="52">
        <v>0</v>
      </c>
      <c r="O127" s="25"/>
      <c r="P127" s="5"/>
    </row>
    <row r="128" spans="1:17" ht="15.6" x14ac:dyDescent="0.3">
      <c r="A128" s="24"/>
      <c r="B128" s="25" t="s">
        <v>225</v>
      </c>
      <c r="C128" s="25"/>
      <c r="D128" s="25"/>
      <c r="E128" s="25"/>
      <c r="F128" s="25"/>
      <c r="G128" s="25"/>
      <c r="H128" s="25"/>
      <c r="I128" s="25"/>
      <c r="J128" s="25"/>
      <c r="K128" s="25"/>
      <c r="L128" s="25"/>
      <c r="M128" s="25"/>
      <c r="N128" s="52">
        <v>0</v>
      </c>
      <c r="O128" s="25"/>
      <c r="P128" s="5"/>
      <c r="Q128" s="104"/>
    </row>
    <row r="129" spans="1:16" ht="15.6" x14ac:dyDescent="0.3">
      <c r="A129" s="24"/>
      <c r="B129" s="25" t="s">
        <v>43</v>
      </c>
      <c r="C129" s="25"/>
      <c r="D129" s="25"/>
      <c r="E129" s="25"/>
      <c r="F129" s="25"/>
      <c r="G129" s="25"/>
      <c r="H129" s="25"/>
      <c r="I129" s="25"/>
      <c r="J129" s="25"/>
      <c r="K129" s="25"/>
      <c r="L129" s="25"/>
      <c r="M129" s="25"/>
      <c r="N129" s="52">
        <f>SUM(N121:N128)</f>
        <v>806</v>
      </c>
      <c r="O129" s="25"/>
      <c r="P129" s="5"/>
    </row>
    <row r="130" spans="1:16" ht="15.6" x14ac:dyDescent="0.3">
      <c r="A130" s="24"/>
      <c r="B130" s="25"/>
      <c r="C130" s="25"/>
      <c r="D130" s="25"/>
      <c r="E130" s="25"/>
      <c r="F130" s="25"/>
      <c r="G130" s="25"/>
      <c r="H130" s="25"/>
      <c r="I130" s="25"/>
      <c r="J130" s="25"/>
      <c r="K130" s="25"/>
      <c r="L130" s="25"/>
      <c r="M130" s="25"/>
      <c r="N130" s="52"/>
      <c r="O130" s="25"/>
      <c r="P130" s="5"/>
    </row>
    <row r="131" spans="1:16" ht="15.6" x14ac:dyDescent="0.3">
      <c r="A131" s="24"/>
      <c r="B131" s="130" t="s">
        <v>179</v>
      </c>
      <c r="C131" s="25"/>
      <c r="D131" s="25"/>
      <c r="E131" s="25"/>
      <c r="F131" s="25"/>
      <c r="G131" s="25"/>
      <c r="H131" s="25"/>
      <c r="I131" s="25"/>
      <c r="J131" s="25"/>
      <c r="K131" s="25"/>
      <c r="L131" s="25"/>
      <c r="M131" s="25"/>
      <c r="N131" s="52"/>
      <c r="O131" s="25"/>
      <c r="P131" s="5"/>
    </row>
    <row r="132" spans="1:16" ht="15.6" x14ac:dyDescent="0.3">
      <c r="A132" s="24"/>
      <c r="B132" s="25" t="s">
        <v>144</v>
      </c>
      <c r="C132" s="25"/>
      <c r="D132" s="25"/>
      <c r="E132" s="25"/>
      <c r="F132" s="25"/>
      <c r="G132" s="25"/>
      <c r="H132" s="25"/>
      <c r="I132" s="25"/>
      <c r="J132" s="25"/>
      <c r="K132" s="25"/>
      <c r="L132" s="25"/>
      <c r="M132" s="25"/>
      <c r="N132" s="52">
        <v>7098</v>
      </c>
      <c r="O132" s="25"/>
      <c r="P132" s="5"/>
    </row>
    <row r="133" spans="1:16" ht="15.6" x14ac:dyDescent="0.3">
      <c r="A133" s="24"/>
      <c r="B133" s="25" t="s">
        <v>159</v>
      </c>
      <c r="C133" s="25"/>
      <c r="D133" s="25"/>
      <c r="E133" s="25"/>
      <c r="F133" s="25"/>
      <c r="G133" s="25"/>
      <c r="H133" s="25"/>
      <c r="I133" s="25"/>
      <c r="J133" s="25"/>
      <c r="K133" s="25"/>
      <c r="L133" s="25"/>
      <c r="M133" s="25"/>
      <c r="N133" s="52">
        <v>0</v>
      </c>
      <c r="O133" s="25"/>
      <c r="P133" s="5"/>
    </row>
    <row r="134" spans="1:16" ht="15.6" x14ac:dyDescent="0.3">
      <c r="A134" s="24"/>
      <c r="B134" s="25" t="s">
        <v>183</v>
      </c>
      <c r="C134" s="25"/>
      <c r="D134" s="25"/>
      <c r="E134" s="25"/>
      <c r="F134" s="25"/>
      <c r="G134" s="25"/>
      <c r="H134" s="25"/>
      <c r="I134" s="25"/>
      <c r="J134" s="25"/>
      <c r="K134" s="25"/>
      <c r="L134" s="25"/>
      <c r="M134" s="25"/>
      <c r="N134" s="52">
        <v>4488</v>
      </c>
      <c r="O134" s="25"/>
      <c r="P134" s="5"/>
    </row>
    <row r="135" spans="1:16" ht="15.6" x14ac:dyDescent="0.3">
      <c r="A135" s="24"/>
      <c r="B135" s="25"/>
      <c r="C135" s="25"/>
      <c r="D135" s="25"/>
      <c r="E135" s="25"/>
      <c r="F135" s="25"/>
      <c r="G135" s="25"/>
      <c r="H135" s="25"/>
      <c r="I135" s="25"/>
      <c r="J135" s="25"/>
      <c r="K135" s="25"/>
      <c r="L135" s="25"/>
      <c r="M135" s="25"/>
      <c r="N135" s="52"/>
      <c r="O135" s="25"/>
      <c r="P135" s="5"/>
    </row>
    <row r="136" spans="1:16" ht="15.6" x14ac:dyDescent="0.3">
      <c r="A136" s="24"/>
      <c r="B136" s="25"/>
      <c r="C136" s="25"/>
      <c r="D136" s="25"/>
      <c r="E136" s="25"/>
      <c r="F136" s="25"/>
      <c r="G136" s="25"/>
      <c r="H136" s="25"/>
      <c r="I136" s="25"/>
      <c r="J136" s="25"/>
      <c r="K136" s="25"/>
      <c r="L136" s="25"/>
      <c r="M136" s="25"/>
      <c r="N136" s="59"/>
      <c r="O136" s="25"/>
      <c r="P136" s="5"/>
    </row>
    <row r="137" spans="1:16" ht="15.6" x14ac:dyDescent="0.3">
      <c r="A137" s="6"/>
      <c r="B137" s="114" t="s">
        <v>22</v>
      </c>
      <c r="C137" s="8"/>
      <c r="D137" s="8"/>
      <c r="E137" s="8"/>
      <c r="F137" s="8"/>
      <c r="G137" s="8"/>
      <c r="H137" s="8"/>
      <c r="I137" s="8"/>
      <c r="J137" s="8"/>
      <c r="K137" s="8"/>
      <c r="L137" s="8"/>
      <c r="M137" s="8"/>
      <c r="N137" s="51"/>
      <c r="O137" s="8"/>
      <c r="P137" s="5"/>
    </row>
    <row r="138" spans="1:16" ht="15.6" x14ac:dyDescent="0.3">
      <c r="A138" s="24"/>
      <c r="B138" s="25" t="s">
        <v>44</v>
      </c>
      <c r="C138" s="25"/>
      <c r="D138" s="25"/>
      <c r="E138" s="25"/>
      <c r="F138" s="25"/>
      <c r="G138" s="25"/>
      <c r="H138" s="25"/>
      <c r="I138" s="25"/>
      <c r="J138" s="25"/>
      <c r="K138" s="25"/>
      <c r="L138" s="25"/>
      <c r="M138" s="25"/>
      <c r="N138" s="57" t="s">
        <v>117</v>
      </c>
      <c r="O138" s="25"/>
      <c r="P138" s="5"/>
    </row>
    <row r="139" spans="1:16" ht="15.6" x14ac:dyDescent="0.3">
      <c r="A139" s="24"/>
      <c r="B139" s="25" t="s">
        <v>45</v>
      </c>
      <c r="C139" s="175"/>
      <c r="D139" s="175"/>
      <c r="E139" s="175"/>
      <c r="F139" s="175"/>
      <c r="G139" s="175"/>
      <c r="H139" s="175"/>
      <c r="I139" s="175"/>
      <c r="J139" s="175"/>
      <c r="K139" s="175"/>
      <c r="L139" s="175"/>
      <c r="M139" s="175"/>
      <c r="N139" s="57" t="s">
        <v>117</v>
      </c>
      <c r="O139" s="25"/>
      <c r="P139" s="5"/>
    </row>
    <row r="140" spans="1:16" ht="15.6" x14ac:dyDescent="0.3">
      <c r="A140" s="24"/>
      <c r="B140" s="25" t="s">
        <v>46</v>
      </c>
      <c r="C140" s="25"/>
      <c r="D140" s="25"/>
      <c r="E140" s="25"/>
      <c r="F140" s="25"/>
      <c r="G140" s="25"/>
      <c r="H140" s="25"/>
      <c r="I140" s="25"/>
      <c r="J140" s="25"/>
      <c r="K140" s="25"/>
      <c r="L140" s="25"/>
      <c r="M140" s="25"/>
      <c r="N140" s="57" t="s">
        <v>117</v>
      </c>
      <c r="O140" s="25"/>
      <c r="P140" s="5"/>
    </row>
    <row r="141" spans="1:16" ht="15.6" x14ac:dyDescent="0.3">
      <c r="A141" s="24"/>
      <c r="B141" s="25" t="s">
        <v>47</v>
      </c>
      <c r="C141" s="25"/>
      <c r="D141" s="25"/>
      <c r="E141" s="25"/>
      <c r="F141" s="25"/>
      <c r="G141" s="25"/>
      <c r="H141" s="25"/>
      <c r="I141" s="25"/>
      <c r="J141" s="25"/>
      <c r="K141" s="25"/>
      <c r="L141" s="25"/>
      <c r="M141" s="25"/>
      <c r="N141" s="57" t="s">
        <v>117</v>
      </c>
      <c r="O141" s="25"/>
      <c r="P141" s="5"/>
    </row>
    <row r="142" spans="1:16" ht="15.6" x14ac:dyDescent="0.3">
      <c r="A142" s="24"/>
      <c r="B142" s="25"/>
      <c r="C142" s="25"/>
      <c r="D142" s="25"/>
      <c r="E142" s="25"/>
      <c r="F142" s="25"/>
      <c r="G142" s="25"/>
      <c r="H142" s="25"/>
      <c r="I142" s="25"/>
      <c r="J142" s="25"/>
      <c r="K142" s="25"/>
      <c r="L142" s="25"/>
      <c r="M142" s="25"/>
      <c r="N142" s="59"/>
      <c r="O142" s="25"/>
      <c r="P142" s="5"/>
    </row>
    <row r="143" spans="1:16" ht="15.6" x14ac:dyDescent="0.3">
      <c r="A143" s="6"/>
      <c r="B143" s="114" t="s">
        <v>48</v>
      </c>
      <c r="C143" s="8"/>
      <c r="D143" s="8"/>
      <c r="E143" s="8"/>
      <c r="F143" s="8"/>
      <c r="G143" s="8"/>
      <c r="H143" s="8"/>
      <c r="I143" s="8"/>
      <c r="J143" s="8"/>
      <c r="K143" s="8"/>
      <c r="L143" s="8"/>
      <c r="M143" s="8"/>
      <c r="N143" s="61"/>
      <c r="O143" s="8"/>
      <c r="P143" s="5"/>
    </row>
    <row r="144" spans="1:16" ht="15.6" x14ac:dyDescent="0.3">
      <c r="A144" s="24"/>
      <c r="B144" s="25" t="s">
        <v>49</v>
      </c>
      <c r="C144" s="25"/>
      <c r="D144" s="25"/>
      <c r="E144" s="25"/>
      <c r="F144" s="25"/>
      <c r="G144" s="25"/>
      <c r="H144" s="25"/>
      <c r="I144" s="25"/>
      <c r="J144" s="25"/>
      <c r="K144" s="25"/>
      <c r="L144" s="25"/>
      <c r="M144" s="25"/>
      <c r="N144" s="52">
        <v>0</v>
      </c>
      <c r="O144" s="25"/>
      <c r="P144" s="5"/>
    </row>
    <row r="145" spans="1:256" ht="15.6" x14ac:dyDescent="0.3">
      <c r="A145" s="24"/>
      <c r="B145" s="25" t="s">
        <v>50</v>
      </c>
      <c r="C145" s="25"/>
      <c r="D145" s="25"/>
      <c r="E145" s="25"/>
      <c r="F145" s="25"/>
      <c r="G145" s="25"/>
      <c r="H145" s="25"/>
      <c r="I145" s="25"/>
      <c r="J145" s="25"/>
      <c r="K145" s="25"/>
      <c r="L145" s="25"/>
      <c r="M145" s="25"/>
      <c r="N145" s="52">
        <v>0</v>
      </c>
      <c r="O145" s="25"/>
      <c r="P145" s="5"/>
    </row>
    <row r="146" spans="1:256" ht="15.6" x14ac:dyDescent="0.3">
      <c r="A146" s="24"/>
      <c r="B146" s="25" t="s">
        <v>51</v>
      </c>
      <c r="C146" s="25"/>
      <c r="D146" s="25"/>
      <c r="E146" s="25"/>
      <c r="F146" s="25"/>
      <c r="G146" s="25"/>
      <c r="H146" s="25"/>
      <c r="I146" s="25"/>
      <c r="J146" s="25"/>
      <c r="K146" s="25"/>
      <c r="L146" s="25"/>
      <c r="M146" s="25"/>
      <c r="N146" s="52">
        <f>N145+N144</f>
        <v>0</v>
      </c>
      <c r="O146" s="25"/>
      <c r="P146" s="5"/>
    </row>
    <row r="147" spans="1:256" ht="15.6" x14ac:dyDescent="0.3">
      <c r="A147" s="24"/>
      <c r="B147" s="25" t="s">
        <v>264</v>
      </c>
      <c r="C147" s="25"/>
      <c r="D147" s="25"/>
      <c r="E147" s="25"/>
      <c r="F147" s="25"/>
      <c r="G147" s="25"/>
      <c r="H147" s="25"/>
      <c r="I147" s="25"/>
      <c r="J147" s="25"/>
      <c r="K147" s="25"/>
      <c r="L147" s="25"/>
      <c r="M147" s="25"/>
      <c r="N147" s="52">
        <v>0</v>
      </c>
      <c r="O147" s="25"/>
      <c r="P147" s="5"/>
    </row>
    <row r="148" spans="1:256" ht="15.6" x14ac:dyDescent="0.3">
      <c r="A148" s="24"/>
      <c r="B148" s="25" t="s">
        <v>52</v>
      </c>
      <c r="C148" s="25"/>
      <c r="D148" s="25"/>
      <c r="E148" s="25"/>
      <c r="F148" s="25"/>
      <c r="G148" s="25"/>
      <c r="H148" s="25"/>
      <c r="I148" s="25"/>
      <c r="J148" s="25"/>
      <c r="K148" s="25"/>
      <c r="L148" s="25"/>
      <c r="M148" s="25"/>
      <c r="N148" s="52">
        <f>N146+N147</f>
        <v>0</v>
      </c>
      <c r="O148" s="25"/>
      <c r="P148" s="5"/>
    </row>
    <row r="149" spans="1:256" ht="16.2" thickBot="1" x14ac:dyDescent="0.35">
      <c r="A149" s="24"/>
      <c r="B149" s="25"/>
      <c r="C149" s="25"/>
      <c r="D149" s="25"/>
      <c r="E149" s="25"/>
      <c r="F149" s="25"/>
      <c r="G149" s="25"/>
      <c r="H149" s="25"/>
      <c r="I149" s="25"/>
      <c r="J149" s="25"/>
      <c r="K149" s="25"/>
      <c r="L149" s="25"/>
      <c r="M149" s="25"/>
      <c r="N149" s="59"/>
      <c r="O149" s="25"/>
      <c r="P149" s="5"/>
    </row>
    <row r="150" spans="1:256" ht="15.6" x14ac:dyDescent="0.3">
      <c r="A150" s="2"/>
      <c r="B150" s="4"/>
      <c r="C150" s="4"/>
      <c r="D150" s="4"/>
      <c r="E150" s="4"/>
      <c r="F150" s="4"/>
      <c r="G150" s="4"/>
      <c r="H150" s="4"/>
      <c r="I150" s="4"/>
      <c r="J150" s="4"/>
      <c r="K150" s="4"/>
      <c r="L150" s="4"/>
      <c r="M150" s="4"/>
      <c r="N150" s="49"/>
      <c r="O150" s="4"/>
      <c r="P150" s="5"/>
    </row>
    <row r="151" spans="1:256" ht="15.6" x14ac:dyDescent="0.3">
      <c r="A151" s="6"/>
      <c r="B151" s="114" t="s">
        <v>53</v>
      </c>
      <c r="C151" s="8"/>
      <c r="D151" s="8"/>
      <c r="E151" s="8"/>
      <c r="F151" s="8"/>
      <c r="G151" s="8"/>
      <c r="H151" s="8"/>
      <c r="I151" s="8"/>
      <c r="J151" s="8"/>
      <c r="K151" s="8"/>
      <c r="L151" s="8"/>
      <c r="M151" s="8"/>
      <c r="N151" s="51"/>
      <c r="O151" s="8"/>
      <c r="P151" s="5"/>
    </row>
    <row r="152" spans="1:256" ht="15.6" x14ac:dyDescent="0.3">
      <c r="A152" s="6"/>
      <c r="B152" s="21"/>
      <c r="C152" s="8"/>
      <c r="D152" s="8"/>
      <c r="E152" s="8"/>
      <c r="F152" s="8"/>
      <c r="G152" s="8"/>
      <c r="H152" s="8"/>
      <c r="I152" s="8"/>
      <c r="J152" s="8"/>
      <c r="K152" s="8"/>
      <c r="L152" s="8"/>
      <c r="M152" s="8"/>
      <c r="N152" s="51"/>
      <c r="O152" s="8"/>
      <c r="P152" s="5"/>
    </row>
    <row r="153" spans="1:256" ht="15.6" x14ac:dyDescent="0.3">
      <c r="A153" s="24"/>
      <c r="B153" s="25" t="s">
        <v>234</v>
      </c>
      <c r="C153" s="25"/>
      <c r="D153" s="25"/>
      <c r="E153" s="25"/>
      <c r="F153" s="25"/>
      <c r="G153" s="25"/>
      <c r="H153" s="25"/>
      <c r="I153" s="25"/>
      <c r="J153" s="25"/>
      <c r="K153" s="25"/>
      <c r="L153" s="25"/>
      <c r="M153" s="25"/>
      <c r="N153" s="52">
        <f>N57</f>
        <v>161625</v>
      </c>
      <c r="O153" s="25"/>
      <c r="P153" s="5"/>
      <c r="Q153" s="104"/>
    </row>
    <row r="154" spans="1:256" ht="15.6" x14ac:dyDescent="0.3">
      <c r="A154" s="24"/>
      <c r="B154" s="25" t="s">
        <v>54</v>
      </c>
      <c r="C154" s="25"/>
      <c r="D154" s="25"/>
      <c r="E154" s="25"/>
      <c r="F154" s="25"/>
      <c r="G154" s="25"/>
      <c r="H154" s="25"/>
      <c r="I154" s="25"/>
      <c r="J154" s="25"/>
      <c r="K154" s="25"/>
      <c r="L154" s="25"/>
      <c r="M154" s="25"/>
      <c r="N154" s="52">
        <f>N73</f>
        <v>161625</v>
      </c>
      <c r="O154" s="25"/>
      <c r="P154" s="5"/>
    </row>
    <row r="155" spans="1:256" ht="16.2" thickBot="1" x14ac:dyDescent="0.35">
      <c r="A155" s="24"/>
      <c r="B155" s="25"/>
      <c r="C155" s="25"/>
      <c r="D155" s="25"/>
      <c r="E155" s="25"/>
      <c r="F155" s="25"/>
      <c r="G155" s="25"/>
      <c r="H155" s="25"/>
      <c r="I155" s="25"/>
      <c r="J155" s="25"/>
      <c r="K155" s="25"/>
      <c r="L155" s="25"/>
      <c r="M155" s="25"/>
      <c r="N155" s="59"/>
      <c r="O155" s="25"/>
      <c r="P155" s="5"/>
    </row>
    <row r="156" spans="1:256" s="150" customFormat="1" ht="15.6" x14ac:dyDescent="0.3">
      <c r="A156" s="2"/>
      <c r="B156" s="4"/>
      <c r="C156" s="4"/>
      <c r="D156" s="4"/>
      <c r="E156" s="4"/>
      <c r="F156" s="4"/>
      <c r="G156" s="4"/>
      <c r="H156" s="4"/>
      <c r="I156" s="4"/>
      <c r="J156" s="4"/>
      <c r="K156" s="4"/>
      <c r="L156" s="4"/>
      <c r="M156" s="4"/>
      <c r="N156" s="49"/>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s="153" customFormat="1" ht="15.6" x14ac:dyDescent="0.3">
      <c r="A157" s="6"/>
      <c r="B157" s="160" t="s">
        <v>205</v>
      </c>
      <c r="C157" s="151"/>
      <c r="D157" s="151"/>
      <c r="E157" s="151"/>
      <c r="F157" s="151"/>
      <c r="G157" s="151"/>
      <c r="H157" s="151"/>
      <c r="I157" s="151"/>
      <c r="J157" s="151"/>
      <c r="K157" s="151"/>
      <c r="L157" s="151"/>
      <c r="M157" s="151"/>
      <c r="N157" s="152"/>
      <c r="O157" s="151"/>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ht="16.2" thickBot="1" x14ac:dyDescent="0.35">
      <c r="A158" s="6"/>
      <c r="B158" s="151"/>
      <c r="C158" s="151"/>
      <c r="D158" s="151"/>
      <c r="E158" s="151"/>
      <c r="F158" s="151"/>
      <c r="G158" s="151"/>
      <c r="H158" s="151"/>
      <c r="I158" s="151"/>
      <c r="J158" s="151"/>
      <c r="K158" s="151"/>
      <c r="L158" s="151"/>
      <c r="M158" s="151"/>
      <c r="N158" s="152"/>
      <c r="O158" s="151"/>
      <c r="P158" s="5"/>
    </row>
    <row r="159" spans="1:256" s="156" customFormat="1" ht="15.6" x14ac:dyDescent="0.3">
      <c r="A159" s="2"/>
      <c r="B159" s="4" t="s">
        <v>206</v>
      </c>
      <c r="C159" s="4"/>
      <c r="D159" s="4"/>
      <c r="E159" s="4"/>
      <c r="F159" s="4"/>
      <c r="G159" s="4"/>
      <c r="H159" s="4"/>
      <c r="I159" s="4"/>
      <c r="J159" s="4"/>
      <c r="K159" s="4"/>
      <c r="L159" s="4"/>
      <c r="M159" s="4"/>
      <c r="N159" s="185">
        <f>+'May 08'!N162</f>
        <v>562</v>
      </c>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53" customFormat="1" ht="15.6" x14ac:dyDescent="0.3">
      <c r="A160" s="181"/>
      <c r="B160" s="182" t="s">
        <v>207</v>
      </c>
      <c r="C160" s="182"/>
      <c r="D160" s="182"/>
      <c r="E160" s="182"/>
      <c r="F160" s="182"/>
      <c r="G160" s="182"/>
      <c r="H160" s="182"/>
      <c r="I160" s="182"/>
      <c r="J160" s="182"/>
      <c r="K160" s="182"/>
      <c r="L160" s="182"/>
      <c r="M160" s="182"/>
      <c r="N160" s="183">
        <f>+H58</f>
        <v>27</v>
      </c>
      <c r="O160" s="18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63" customFormat="1" ht="15.6" x14ac:dyDescent="0.3">
      <c r="A161" s="181"/>
      <c r="B161" s="182" t="s">
        <v>208</v>
      </c>
      <c r="C161" s="182"/>
      <c r="D161" s="182"/>
      <c r="E161" s="182"/>
      <c r="F161" s="182"/>
      <c r="G161" s="182"/>
      <c r="H161" s="182"/>
      <c r="I161" s="182"/>
      <c r="J161" s="182"/>
      <c r="K161" s="182"/>
      <c r="L161" s="182"/>
      <c r="M161" s="182"/>
      <c r="N161" s="183">
        <v>0</v>
      </c>
      <c r="O161" s="18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5.6" x14ac:dyDescent="0.3">
      <c r="A162" s="181"/>
      <c r="B162" s="182" t="s">
        <v>217</v>
      </c>
      <c r="C162" s="182"/>
      <c r="D162" s="182"/>
      <c r="E162" s="182"/>
      <c r="F162" s="182"/>
      <c r="G162" s="182"/>
      <c r="H162" s="182"/>
      <c r="I162" s="182"/>
      <c r="J162" s="182"/>
      <c r="K162" s="182"/>
      <c r="L162" s="182"/>
      <c r="M162" s="182"/>
      <c r="N162" s="183">
        <f>N159-N160-N161</f>
        <v>535</v>
      </c>
      <c r="O162" s="18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59" customFormat="1" ht="16.2" thickBot="1" x14ac:dyDescent="0.35">
      <c r="A163" s="6"/>
      <c r="B163" s="151"/>
      <c r="C163" s="151"/>
      <c r="D163" s="151"/>
      <c r="E163" s="151"/>
      <c r="F163" s="151"/>
      <c r="G163" s="151"/>
      <c r="H163" s="151"/>
      <c r="I163" s="151"/>
      <c r="J163" s="151"/>
      <c r="K163" s="151"/>
      <c r="L163" s="151"/>
      <c r="M163" s="151"/>
      <c r="N163" s="165"/>
      <c r="O163" s="151"/>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s="173" customFormat="1" ht="15.6" x14ac:dyDescent="0.3">
      <c r="A164" s="168"/>
      <c r="B164" s="169"/>
      <c r="C164" s="169"/>
      <c r="D164" s="169"/>
      <c r="E164" s="169"/>
      <c r="F164" s="169"/>
      <c r="G164" s="169"/>
      <c r="H164" s="169"/>
      <c r="I164" s="169"/>
      <c r="J164" s="169"/>
      <c r="K164" s="169"/>
      <c r="L164" s="169"/>
      <c r="M164" s="169"/>
      <c r="N164" s="170"/>
      <c r="O164" s="169"/>
      <c r="P164" s="172"/>
    </row>
    <row r="165" spans="1:256" ht="15.6" x14ac:dyDescent="0.3">
      <c r="A165" s="6"/>
      <c r="B165" s="114" t="s">
        <v>55</v>
      </c>
      <c r="C165" s="112"/>
      <c r="D165" s="115"/>
      <c r="E165" s="115"/>
      <c r="F165" s="115"/>
      <c r="G165" s="115"/>
      <c r="H165" s="115"/>
      <c r="I165" s="115"/>
      <c r="J165" s="115"/>
      <c r="K165" s="115" t="s">
        <v>98</v>
      </c>
      <c r="L165" s="115" t="s">
        <v>226</v>
      </c>
      <c r="M165" s="106"/>
      <c r="N165" s="116" t="s">
        <v>114</v>
      </c>
      <c r="O165" s="10"/>
      <c r="P165" s="5"/>
    </row>
    <row r="166" spans="1:256" ht="15.6" x14ac:dyDescent="0.3">
      <c r="A166" s="24"/>
      <c r="B166" s="25" t="s">
        <v>56</v>
      </c>
      <c r="C166" s="25"/>
      <c r="D166" s="25"/>
      <c r="E166" s="25"/>
      <c r="F166" s="25"/>
      <c r="G166" s="25"/>
      <c r="H166" s="25"/>
      <c r="I166" s="25"/>
      <c r="J166" s="25"/>
      <c r="K166" s="52" t="s">
        <v>117</v>
      </c>
      <c r="L166" s="40" t="s">
        <v>117</v>
      </c>
      <c r="M166" s="25"/>
      <c r="N166" s="52"/>
      <c r="O166" s="25"/>
      <c r="P166" s="5"/>
    </row>
    <row r="167" spans="1:256" ht="15.6" x14ac:dyDescent="0.3">
      <c r="A167" s="24"/>
      <c r="B167" s="25" t="s">
        <v>57</v>
      </c>
      <c r="C167" s="25"/>
      <c r="D167" s="25"/>
      <c r="E167" s="25"/>
      <c r="F167" s="25"/>
      <c r="G167" s="25"/>
      <c r="H167" s="25"/>
      <c r="I167" s="25"/>
      <c r="J167" s="25"/>
      <c r="K167" s="52">
        <v>0</v>
      </c>
      <c r="L167" s="52">
        <f>+'May 08'!L169</f>
        <v>6538</v>
      </c>
      <c r="M167" s="25"/>
      <c r="N167" s="52">
        <f>K167+L167</f>
        <v>6538</v>
      </c>
      <c r="O167" s="25"/>
      <c r="P167" s="5"/>
    </row>
    <row r="168" spans="1:256" ht="15.6" x14ac:dyDescent="0.3">
      <c r="A168" s="24"/>
      <c r="B168" s="25" t="s">
        <v>58</v>
      </c>
      <c r="C168" s="25"/>
      <c r="D168" s="25"/>
      <c r="E168" s="25"/>
      <c r="F168" s="25"/>
      <c r="G168" s="25"/>
      <c r="H168" s="25"/>
      <c r="I168" s="25"/>
      <c r="J168" s="25"/>
      <c r="K168" s="34">
        <v>0</v>
      </c>
      <c r="L168" s="34">
        <f>-L108</f>
        <v>693</v>
      </c>
      <c r="M168" s="25"/>
      <c r="N168" s="52">
        <f>K168+L168</f>
        <v>693</v>
      </c>
      <c r="O168" s="25"/>
      <c r="P168" s="5"/>
    </row>
    <row r="169" spans="1:256" ht="15.6" x14ac:dyDescent="0.3">
      <c r="A169" s="24"/>
      <c r="B169" s="25" t="s">
        <v>59</v>
      </c>
      <c r="C169" s="25"/>
      <c r="D169" s="25"/>
      <c r="E169" s="25"/>
      <c r="F169" s="25"/>
      <c r="G169" s="25"/>
      <c r="H169" s="25"/>
      <c r="I169" s="25"/>
      <c r="J169" s="25"/>
      <c r="K169" s="52">
        <f>K167+K168</f>
        <v>0</v>
      </c>
      <c r="L169" s="52">
        <f>L168+L167</f>
        <v>7231</v>
      </c>
      <c r="M169" s="25"/>
      <c r="N169" s="52">
        <f>K169+L169</f>
        <v>7231</v>
      </c>
      <c r="O169" s="25"/>
      <c r="P169" s="5"/>
    </row>
    <row r="170" spans="1:256" ht="15.6" x14ac:dyDescent="0.3">
      <c r="A170" s="24"/>
      <c r="B170" s="25" t="s">
        <v>60</v>
      </c>
      <c r="C170" s="25"/>
      <c r="D170" s="25"/>
      <c r="E170" s="25"/>
      <c r="F170" s="25"/>
      <c r="G170" s="25"/>
      <c r="H170" s="25"/>
      <c r="I170" s="25"/>
      <c r="J170" s="25"/>
      <c r="K170" s="52" t="s">
        <v>117</v>
      </c>
      <c r="L170" s="40" t="s">
        <v>117</v>
      </c>
      <c r="M170" s="25"/>
      <c r="N170" s="52"/>
      <c r="O170" s="25"/>
      <c r="P170" s="5"/>
    </row>
    <row r="171" spans="1:256" ht="16.2" thickBot="1" x14ac:dyDescent="0.35">
      <c r="A171" s="24"/>
      <c r="B171" s="25"/>
      <c r="C171" s="25"/>
      <c r="D171" s="25"/>
      <c r="E171" s="25"/>
      <c r="F171" s="25"/>
      <c r="G171" s="25"/>
      <c r="H171" s="25"/>
      <c r="I171" s="25"/>
      <c r="J171" s="25"/>
      <c r="K171" s="25"/>
      <c r="L171" s="25"/>
      <c r="M171" s="25"/>
      <c r="N171" s="59"/>
      <c r="O171" s="25"/>
      <c r="P171" s="5"/>
    </row>
    <row r="172" spans="1:256" ht="15.6" x14ac:dyDescent="0.3">
      <c r="A172" s="2"/>
      <c r="B172" s="4"/>
      <c r="C172" s="4"/>
      <c r="D172" s="4"/>
      <c r="E172" s="4"/>
      <c r="F172" s="4"/>
      <c r="G172" s="4"/>
      <c r="H172" s="4"/>
      <c r="I172" s="4"/>
      <c r="J172" s="4"/>
      <c r="K172" s="4"/>
      <c r="L172" s="4"/>
      <c r="M172" s="4"/>
      <c r="N172" s="49"/>
      <c r="O172" s="4"/>
      <c r="P172" s="5"/>
    </row>
    <row r="173" spans="1:256" ht="15.6" x14ac:dyDescent="0.3">
      <c r="A173" s="6"/>
      <c r="B173" s="114" t="s">
        <v>61</v>
      </c>
      <c r="C173" s="8"/>
      <c r="D173" s="8"/>
      <c r="E173" s="8"/>
      <c r="F173" s="8"/>
      <c r="G173" s="8"/>
      <c r="H173" s="8"/>
      <c r="I173" s="8"/>
      <c r="J173" s="8"/>
      <c r="K173" s="8"/>
      <c r="L173" s="8"/>
      <c r="M173" s="8"/>
      <c r="N173" s="63"/>
      <c r="O173" s="8"/>
      <c r="P173" s="5"/>
    </row>
    <row r="174" spans="1:256" ht="15.6" x14ac:dyDescent="0.3">
      <c r="A174" s="24"/>
      <c r="B174" s="25" t="s">
        <v>62</v>
      </c>
      <c r="C174" s="25"/>
      <c r="D174" s="25"/>
      <c r="E174" s="25"/>
      <c r="F174" s="25"/>
      <c r="G174" s="25"/>
      <c r="H174" s="25"/>
      <c r="I174" s="25"/>
      <c r="J174" s="25"/>
      <c r="K174" s="25"/>
      <c r="L174" s="25"/>
      <c r="M174" s="25"/>
      <c r="N174" s="57">
        <f>(N88+N90+N91+N92+N93)/-N94</f>
        <v>1.3800243605359317</v>
      </c>
      <c r="O174" s="25" t="s">
        <v>115</v>
      </c>
      <c r="P174" s="5"/>
    </row>
    <row r="175" spans="1:256" ht="15.6" x14ac:dyDescent="0.3">
      <c r="A175" s="24"/>
      <c r="B175" s="25" t="s">
        <v>63</v>
      </c>
      <c r="C175" s="25"/>
      <c r="D175" s="25"/>
      <c r="E175" s="25"/>
      <c r="F175" s="25"/>
      <c r="G175" s="25"/>
      <c r="H175" s="25"/>
      <c r="I175" s="25"/>
      <c r="J175" s="25"/>
      <c r="K175" s="25"/>
      <c r="L175" s="25"/>
      <c r="M175" s="25"/>
      <c r="N175" s="64">
        <v>1.38</v>
      </c>
      <c r="O175" s="25" t="s">
        <v>115</v>
      </c>
      <c r="P175" s="5"/>
    </row>
    <row r="176" spans="1:256" ht="15.6" x14ac:dyDescent="0.3">
      <c r="A176" s="24"/>
      <c r="B176" s="25" t="s">
        <v>64</v>
      </c>
      <c r="C176" s="25"/>
      <c r="D176" s="25"/>
      <c r="E176" s="25"/>
      <c r="F176" s="25"/>
      <c r="G176" s="25"/>
      <c r="H176" s="25"/>
      <c r="I176" s="25"/>
      <c r="J176" s="25"/>
      <c r="K176" s="25"/>
      <c r="L176" s="25"/>
      <c r="M176" s="25"/>
      <c r="N176" s="57">
        <f>(N88+N90+N91+N92+N93+N94)/-N96</f>
        <v>15.096774193548388</v>
      </c>
      <c r="O176" s="25" t="s">
        <v>115</v>
      </c>
      <c r="P176" s="5"/>
    </row>
    <row r="177" spans="1:16" ht="15.6" x14ac:dyDescent="0.3">
      <c r="A177" s="24"/>
      <c r="B177" s="25" t="s">
        <v>65</v>
      </c>
      <c r="C177" s="25"/>
      <c r="D177" s="25"/>
      <c r="E177" s="25"/>
      <c r="F177" s="25"/>
      <c r="G177" s="25"/>
      <c r="H177" s="25"/>
      <c r="I177" s="25"/>
      <c r="J177" s="25"/>
      <c r="K177" s="25"/>
      <c r="L177" s="25"/>
      <c r="M177" s="25"/>
      <c r="N177" s="64">
        <v>19.350000000000001</v>
      </c>
      <c r="O177" s="25" t="s">
        <v>115</v>
      </c>
      <c r="P177" s="5"/>
    </row>
    <row r="178" spans="1:16" ht="15.6" x14ac:dyDescent="0.3">
      <c r="A178" s="24"/>
      <c r="B178" s="25" t="s">
        <v>166</v>
      </c>
      <c r="C178" s="25"/>
      <c r="D178" s="25"/>
      <c r="E178" s="25"/>
      <c r="F178" s="25"/>
      <c r="G178" s="25"/>
      <c r="H178" s="25"/>
      <c r="I178" s="25"/>
      <c r="J178" s="25"/>
      <c r="K178" s="25"/>
      <c r="L178" s="25"/>
      <c r="M178" s="25"/>
      <c r="N178" s="57">
        <f>(N88+N90+N91+N92+N93+N94+N96)/-N97</f>
        <v>13.873015873015873</v>
      </c>
      <c r="O178" s="25" t="s">
        <v>115</v>
      </c>
      <c r="P178" s="5"/>
    </row>
    <row r="179" spans="1:16" ht="15.6" x14ac:dyDescent="0.3">
      <c r="A179" s="24"/>
      <c r="B179" s="25" t="s">
        <v>167</v>
      </c>
      <c r="C179" s="25"/>
      <c r="D179" s="25"/>
      <c r="E179" s="25"/>
      <c r="F179" s="25"/>
      <c r="G179" s="25"/>
      <c r="H179" s="25"/>
      <c r="I179" s="25"/>
      <c r="J179" s="25"/>
      <c r="K179" s="25"/>
      <c r="L179" s="25"/>
      <c r="M179" s="25"/>
      <c r="N179" s="64">
        <v>18.05</v>
      </c>
      <c r="O179" s="25" t="s">
        <v>115</v>
      </c>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24"/>
      <c r="B181" s="25"/>
      <c r="C181" s="25"/>
      <c r="D181" s="25"/>
      <c r="E181" s="25"/>
      <c r="F181" s="25"/>
      <c r="G181" s="25"/>
      <c r="H181" s="25"/>
      <c r="I181" s="25"/>
      <c r="J181" s="25"/>
      <c r="K181" s="25"/>
      <c r="L181" s="25"/>
      <c r="M181" s="25"/>
      <c r="N181" s="25"/>
      <c r="O181" s="25"/>
      <c r="P181" s="5"/>
    </row>
    <row r="182" spans="1:16" ht="15.6" x14ac:dyDescent="0.3">
      <c r="A182" s="6"/>
      <c r="B182" s="8"/>
      <c r="C182" s="8"/>
      <c r="D182" s="8"/>
      <c r="E182" s="8"/>
      <c r="F182" s="8"/>
      <c r="G182" s="8"/>
      <c r="H182" s="8"/>
      <c r="I182" s="8"/>
      <c r="J182" s="8"/>
      <c r="K182" s="8"/>
      <c r="L182" s="8"/>
      <c r="M182" s="8"/>
      <c r="N182" s="8"/>
      <c r="O182" s="8"/>
      <c r="P182" s="5"/>
    </row>
    <row r="183" spans="1:16" ht="18" thickBot="1" x14ac:dyDescent="0.35">
      <c r="A183" s="96"/>
      <c r="B183" s="97" t="str">
        <f>B116</f>
        <v>FF7 INVESTOR REPORT QUARTER ENDING AUG 2008</v>
      </c>
      <c r="C183" s="177"/>
      <c r="D183" s="177"/>
      <c r="E183" s="177"/>
      <c r="F183" s="177"/>
      <c r="G183" s="177"/>
      <c r="H183" s="177"/>
      <c r="I183" s="177"/>
      <c r="J183" s="177"/>
      <c r="K183" s="177"/>
      <c r="L183" s="177"/>
      <c r="M183" s="177"/>
      <c r="N183" s="177"/>
      <c r="O183" s="178"/>
      <c r="P183" s="5"/>
    </row>
    <row r="184" spans="1:16" ht="15.6" x14ac:dyDescent="0.3">
      <c r="A184" s="65"/>
      <c r="B184" s="58" t="s">
        <v>66</v>
      </c>
      <c r="C184" s="66"/>
      <c r="D184" s="67"/>
      <c r="E184" s="67"/>
      <c r="F184" s="67"/>
      <c r="G184" s="67"/>
      <c r="H184" s="67"/>
      <c r="I184" s="67"/>
      <c r="J184" s="67"/>
      <c r="K184" s="67"/>
      <c r="L184" s="68">
        <v>39691</v>
      </c>
      <c r="M184" s="4"/>
      <c r="N184" s="4"/>
      <c r="O184" s="4"/>
      <c r="P184" s="5"/>
    </row>
    <row r="185" spans="1:16" ht="15.6" x14ac:dyDescent="0.3">
      <c r="A185" s="69"/>
      <c r="B185" s="70"/>
      <c r="C185" s="71"/>
      <c r="D185" s="72"/>
      <c r="E185" s="72"/>
      <c r="F185" s="72"/>
      <c r="G185" s="72"/>
      <c r="H185" s="72"/>
      <c r="I185" s="72"/>
      <c r="J185" s="72"/>
      <c r="K185" s="72"/>
      <c r="L185" s="72"/>
      <c r="M185" s="8"/>
      <c r="N185" s="8"/>
      <c r="O185" s="8"/>
      <c r="P185" s="5"/>
    </row>
    <row r="186" spans="1:16" ht="15.6" x14ac:dyDescent="0.3">
      <c r="A186" s="73"/>
      <c r="B186" s="74" t="s">
        <v>67</v>
      </c>
      <c r="C186" s="75"/>
      <c r="D186" s="62"/>
      <c r="E186" s="62"/>
      <c r="F186" s="62"/>
      <c r="G186" s="62"/>
      <c r="H186" s="62"/>
      <c r="I186" s="62"/>
      <c r="J186" s="62"/>
      <c r="K186" s="62"/>
      <c r="L186" s="76">
        <v>7.2950000000000001E-2</v>
      </c>
      <c r="M186" s="25"/>
      <c r="N186" s="25"/>
      <c r="O186" s="25"/>
      <c r="P186" s="5"/>
    </row>
    <row r="187" spans="1:16" ht="15.6" x14ac:dyDescent="0.3">
      <c r="A187" s="73"/>
      <c r="B187" s="74" t="s">
        <v>213</v>
      </c>
      <c r="C187" s="75"/>
      <c r="D187" s="62"/>
      <c r="E187" s="62"/>
      <c r="F187" s="62"/>
      <c r="G187" s="62"/>
      <c r="H187" s="62"/>
      <c r="I187" s="62"/>
      <c r="J187" s="62"/>
      <c r="K187" s="62"/>
      <c r="L187" s="39">
        <v>5.79E-2</v>
      </c>
      <c r="M187" s="25"/>
      <c r="N187" s="25"/>
      <c r="O187" s="25"/>
      <c r="P187" s="5"/>
    </row>
    <row r="188" spans="1:16" ht="15.6" x14ac:dyDescent="0.3">
      <c r="A188" s="73"/>
      <c r="B188" s="74" t="s">
        <v>68</v>
      </c>
      <c r="C188" s="75"/>
      <c r="D188" s="62"/>
      <c r="E188" s="62"/>
      <c r="F188" s="62"/>
      <c r="G188" s="62"/>
      <c r="H188" s="62"/>
      <c r="I188" s="62"/>
      <c r="J188" s="62"/>
      <c r="K188" s="62"/>
      <c r="L188" s="76">
        <f>L186-L187</f>
        <v>1.5050000000000001E-2</v>
      </c>
      <c r="M188" s="25"/>
      <c r="N188" s="25"/>
      <c r="O188" s="25"/>
      <c r="P188" s="5"/>
    </row>
    <row r="189" spans="1:16" ht="15.6" x14ac:dyDescent="0.3">
      <c r="A189" s="73"/>
      <c r="B189" s="74" t="s">
        <v>69</v>
      </c>
      <c r="C189" s="75"/>
      <c r="D189" s="62"/>
      <c r="E189" s="62"/>
      <c r="F189" s="62"/>
      <c r="G189" s="62"/>
      <c r="H189" s="62"/>
      <c r="I189" s="62"/>
      <c r="J189" s="62"/>
      <c r="K189" s="62"/>
      <c r="L189" s="76">
        <v>7.7939999999999995E-2</v>
      </c>
      <c r="M189" s="25"/>
      <c r="N189" s="25"/>
      <c r="O189" s="25"/>
      <c r="P189" s="5"/>
    </row>
    <row r="190" spans="1:16" ht="15.6" x14ac:dyDescent="0.3">
      <c r="A190" s="73"/>
      <c r="B190" s="74" t="s">
        <v>212</v>
      </c>
      <c r="C190" s="75"/>
      <c r="D190" s="62"/>
      <c r="E190" s="62"/>
      <c r="F190" s="62"/>
      <c r="G190" s="62"/>
      <c r="H190" s="62"/>
      <c r="I190" s="62"/>
      <c r="J190" s="62"/>
      <c r="K190" s="62"/>
      <c r="L190" s="76">
        <f>N34</f>
        <v>6.0802188096654254E-2</v>
      </c>
      <c r="M190" s="25"/>
      <c r="N190" s="25"/>
      <c r="O190" s="25"/>
      <c r="P190" s="5"/>
    </row>
    <row r="191" spans="1:16" ht="15.6" x14ac:dyDescent="0.3">
      <c r="A191" s="73"/>
      <c r="B191" s="74" t="s">
        <v>70</v>
      </c>
      <c r="C191" s="75"/>
      <c r="D191" s="62"/>
      <c r="E191" s="62"/>
      <c r="F191" s="62"/>
      <c r="G191" s="62"/>
      <c r="H191" s="62"/>
      <c r="I191" s="62"/>
      <c r="J191" s="62"/>
      <c r="K191" s="62"/>
      <c r="L191" s="76">
        <f>L189-L190</f>
        <v>1.7137811903345741E-2</v>
      </c>
      <c r="M191" s="25"/>
      <c r="N191" s="25"/>
      <c r="O191" s="25"/>
      <c r="P191" s="5"/>
    </row>
    <row r="192" spans="1:16" ht="15.6" x14ac:dyDescent="0.3">
      <c r="A192" s="73"/>
      <c r="B192" s="74" t="s">
        <v>203</v>
      </c>
      <c r="C192" s="75"/>
      <c r="D192" s="62"/>
      <c r="E192" s="62"/>
      <c r="F192" s="62"/>
      <c r="G192" s="62"/>
      <c r="H192" s="62"/>
      <c r="I192" s="62"/>
      <c r="J192" s="62"/>
      <c r="K192" s="62"/>
      <c r="L192" s="76">
        <f>+N88/F60</f>
        <v>2.0351331943884967E-2</v>
      </c>
      <c r="M192" s="25"/>
      <c r="N192" s="25"/>
      <c r="O192" s="25"/>
      <c r="P192" s="5"/>
    </row>
    <row r="193" spans="1:16" ht="15.6" x14ac:dyDescent="0.3">
      <c r="A193" s="73"/>
      <c r="B193" s="74" t="s">
        <v>171</v>
      </c>
      <c r="C193" s="75"/>
      <c r="D193" s="62"/>
      <c r="E193" s="62"/>
      <c r="F193" s="62"/>
      <c r="G193" s="62"/>
      <c r="H193" s="62"/>
      <c r="I193" s="62"/>
      <c r="J193" s="62"/>
      <c r="K193" s="62"/>
      <c r="L193" s="122">
        <v>48823</v>
      </c>
      <c r="M193" s="25"/>
      <c r="N193" s="25"/>
      <c r="O193" s="25"/>
      <c r="P193" s="5"/>
    </row>
    <row r="194" spans="1:16" ht="15.6" x14ac:dyDescent="0.3">
      <c r="A194" s="73"/>
      <c r="B194" s="74" t="s">
        <v>172</v>
      </c>
      <c r="C194" s="75"/>
      <c r="D194" s="62"/>
      <c r="E194" s="62"/>
      <c r="F194" s="62"/>
      <c r="G194" s="62"/>
      <c r="H194" s="62"/>
      <c r="I194" s="62"/>
      <c r="J194" s="62"/>
      <c r="K194" s="62"/>
      <c r="L194" s="122">
        <v>48823</v>
      </c>
      <c r="M194" s="25"/>
      <c r="N194" s="25"/>
      <c r="O194" s="25"/>
      <c r="P194" s="5"/>
    </row>
    <row r="195" spans="1:16" ht="15.6" x14ac:dyDescent="0.3">
      <c r="A195" s="73"/>
      <c r="B195" s="74" t="s">
        <v>173</v>
      </c>
      <c r="C195" s="75"/>
      <c r="D195" s="62"/>
      <c r="E195" s="62"/>
      <c r="F195" s="62"/>
      <c r="G195" s="62"/>
      <c r="H195" s="62"/>
      <c r="I195" s="62"/>
      <c r="J195" s="62"/>
      <c r="K195" s="62"/>
      <c r="L195" s="122">
        <v>48823</v>
      </c>
      <c r="M195" s="25"/>
      <c r="N195" s="25"/>
      <c r="O195" s="25"/>
      <c r="P195" s="5"/>
    </row>
    <row r="196" spans="1:16" ht="15.6" x14ac:dyDescent="0.3">
      <c r="A196" s="73"/>
      <c r="B196" s="74" t="s">
        <v>71</v>
      </c>
      <c r="C196" s="75"/>
      <c r="D196" s="62"/>
      <c r="E196" s="62"/>
      <c r="F196" s="62"/>
      <c r="G196" s="62"/>
      <c r="H196" s="62"/>
      <c r="I196" s="62"/>
      <c r="J196" s="62"/>
      <c r="K196" s="62"/>
      <c r="L196" s="126">
        <v>9.93</v>
      </c>
      <c r="M196" s="25" t="s">
        <v>110</v>
      </c>
      <c r="N196" s="25"/>
      <c r="O196" s="25"/>
      <c r="P196" s="5"/>
    </row>
    <row r="197" spans="1:16" ht="15.6" x14ac:dyDescent="0.3">
      <c r="A197" s="73"/>
      <c r="B197" s="74" t="s">
        <v>72</v>
      </c>
      <c r="C197" s="75"/>
      <c r="D197" s="62"/>
      <c r="E197" s="62"/>
      <c r="F197" s="62"/>
      <c r="G197" s="62"/>
      <c r="H197" s="62"/>
      <c r="I197" s="62"/>
      <c r="J197" s="62"/>
      <c r="K197" s="62"/>
      <c r="L197" s="126">
        <v>8</v>
      </c>
      <c r="M197" s="25" t="s">
        <v>110</v>
      </c>
      <c r="N197" s="25"/>
      <c r="O197" s="25"/>
      <c r="P197" s="5"/>
    </row>
    <row r="198" spans="1:16" ht="15.6" x14ac:dyDescent="0.3">
      <c r="A198" s="73"/>
      <c r="B198" s="74" t="s">
        <v>73</v>
      </c>
      <c r="C198" s="75"/>
      <c r="D198" s="62"/>
      <c r="E198" s="62"/>
      <c r="F198" s="62"/>
      <c r="G198" s="62"/>
      <c r="H198" s="62"/>
      <c r="I198" s="62"/>
      <c r="J198" s="62"/>
      <c r="K198" s="62"/>
      <c r="L198" s="76">
        <f>+H57/F57</f>
        <v>7.082569452172742E-2</v>
      </c>
      <c r="M198" s="25"/>
      <c r="N198" s="25"/>
      <c r="O198" s="25"/>
      <c r="P198" s="5"/>
    </row>
    <row r="199" spans="1:16" ht="15.6" x14ac:dyDescent="0.3">
      <c r="A199" s="73"/>
      <c r="B199" s="74" t="s">
        <v>74</v>
      </c>
      <c r="C199" s="75"/>
      <c r="D199" s="62"/>
      <c r="E199" s="62"/>
      <c r="F199" s="62"/>
      <c r="G199" s="62"/>
      <c r="H199" s="62"/>
      <c r="I199" s="62"/>
      <c r="J199" s="62"/>
      <c r="K199" s="62"/>
      <c r="L199" s="76">
        <v>0.33229999999999998</v>
      </c>
      <c r="M199" s="25"/>
      <c r="N199" s="25"/>
      <c r="O199" s="25"/>
      <c r="P199" s="5"/>
    </row>
    <row r="200" spans="1:16" ht="15.6" x14ac:dyDescent="0.3">
      <c r="A200" s="73"/>
      <c r="B200" s="74"/>
      <c r="C200" s="74"/>
      <c r="D200" s="25"/>
      <c r="E200" s="25"/>
      <c r="F200" s="25"/>
      <c r="G200" s="25"/>
      <c r="H200" s="25"/>
      <c r="I200" s="25"/>
      <c r="J200" s="25"/>
      <c r="K200" s="25"/>
      <c r="L200" s="59"/>
      <c r="M200" s="25"/>
      <c r="N200" s="77"/>
      <c r="O200" s="25"/>
      <c r="P200" s="5"/>
    </row>
    <row r="201" spans="1:16" ht="15.6" x14ac:dyDescent="0.3">
      <c r="A201" s="78"/>
      <c r="B201" s="14" t="s">
        <v>75</v>
      </c>
      <c r="C201" s="79"/>
      <c r="D201" s="17"/>
      <c r="E201" s="17"/>
      <c r="F201" s="17"/>
      <c r="G201" s="17"/>
      <c r="H201" s="17"/>
      <c r="I201" s="17"/>
      <c r="J201" s="17"/>
      <c r="K201" s="17" t="s">
        <v>99</v>
      </c>
      <c r="L201" s="80" t="s">
        <v>106</v>
      </c>
      <c r="M201" s="8"/>
      <c r="N201" s="8"/>
      <c r="O201" s="8"/>
      <c r="P201" s="5"/>
    </row>
    <row r="202" spans="1:16" ht="15.6" x14ac:dyDescent="0.3">
      <c r="A202" s="81"/>
      <c r="B202" s="74" t="s">
        <v>76</v>
      </c>
      <c r="C202" s="53"/>
      <c r="D202" s="30"/>
      <c r="E202" s="30"/>
      <c r="F202" s="30"/>
      <c r="G202" s="30"/>
      <c r="H202" s="30"/>
      <c r="I202" s="30"/>
      <c r="J202" s="30"/>
      <c r="K202" s="30">
        <v>15</v>
      </c>
      <c r="L202" s="82">
        <v>1823</v>
      </c>
      <c r="M202" s="25"/>
      <c r="N202" s="77"/>
      <c r="O202" s="83"/>
      <c r="P202" s="5"/>
    </row>
    <row r="203" spans="1:16" ht="15.6" x14ac:dyDescent="0.3">
      <c r="A203" s="81"/>
      <c r="B203" s="74" t="s">
        <v>136</v>
      </c>
      <c r="C203" s="53"/>
      <c r="D203" s="30"/>
      <c r="E203" s="30"/>
      <c r="F203" s="30"/>
      <c r="G203" s="30"/>
      <c r="H203" s="30"/>
      <c r="I203" s="30"/>
      <c r="J203" s="30"/>
      <c r="K203" s="142">
        <f>+J253</f>
        <v>0</v>
      </c>
      <c r="L203" s="82">
        <f>+L253</f>
        <v>0</v>
      </c>
      <c r="M203" s="25"/>
      <c r="N203" s="77"/>
      <c r="O203" s="83"/>
      <c r="P203" s="5"/>
    </row>
    <row r="204" spans="1:16" ht="15.6" x14ac:dyDescent="0.3">
      <c r="A204" s="81"/>
      <c r="B204" s="74" t="s">
        <v>77</v>
      </c>
      <c r="C204" s="53"/>
      <c r="D204" s="30"/>
      <c r="E204" s="30"/>
      <c r="F204" s="30"/>
      <c r="G204" s="30"/>
      <c r="H204" s="30"/>
      <c r="I204" s="30"/>
      <c r="J204" s="30"/>
      <c r="K204" s="142">
        <f>+J270</f>
        <v>0</v>
      </c>
      <c r="L204" s="82">
        <f>+L270</f>
        <v>0</v>
      </c>
      <c r="M204" s="25"/>
      <c r="N204" s="77"/>
      <c r="O204" s="83"/>
      <c r="P204" s="5"/>
    </row>
    <row r="205" spans="1:16" ht="15.6" x14ac:dyDescent="0.3">
      <c r="A205" s="81"/>
      <c r="B205" s="117" t="s">
        <v>78</v>
      </c>
      <c r="C205" s="53"/>
      <c r="D205" s="25"/>
      <c r="E205" s="25"/>
      <c r="F205" s="25"/>
      <c r="G205" s="25"/>
      <c r="H205" s="25"/>
      <c r="I205" s="25"/>
      <c r="J205" s="25"/>
      <c r="K205" s="25"/>
      <c r="L205" s="82">
        <v>0</v>
      </c>
      <c r="M205" s="25"/>
      <c r="N205" s="77"/>
      <c r="O205" s="83"/>
      <c r="P205" s="5"/>
    </row>
    <row r="206" spans="1:16" ht="15.6" x14ac:dyDescent="0.3">
      <c r="A206" s="81"/>
      <c r="B206" s="117" t="s">
        <v>79</v>
      </c>
      <c r="C206" s="53"/>
      <c r="D206" s="25"/>
      <c r="E206" s="25"/>
      <c r="F206" s="25"/>
      <c r="G206" s="25"/>
      <c r="H206" s="25"/>
      <c r="I206" s="25"/>
      <c r="J206" s="25"/>
      <c r="K206" s="25"/>
      <c r="L206" s="60" t="s">
        <v>107</v>
      </c>
      <c r="M206" s="25"/>
      <c r="N206" s="77"/>
      <c r="O206" s="83"/>
      <c r="P206" s="5"/>
    </row>
    <row r="207" spans="1:16" ht="15.6" x14ac:dyDescent="0.3">
      <c r="A207" s="84"/>
      <c r="B207" s="117" t="s">
        <v>80</v>
      </c>
      <c r="C207" s="74"/>
      <c r="D207" s="25"/>
      <c r="E207" s="25"/>
      <c r="F207" s="25"/>
      <c r="G207" s="25"/>
      <c r="H207" s="25"/>
      <c r="I207" s="25"/>
      <c r="J207" s="25"/>
      <c r="K207" s="25"/>
      <c r="L207" s="82"/>
      <c r="M207" s="25"/>
      <c r="N207" s="77"/>
      <c r="O207" s="85"/>
      <c r="P207" s="5"/>
    </row>
    <row r="208" spans="1:16" ht="15.6" x14ac:dyDescent="0.3">
      <c r="A208" s="84"/>
      <c r="B208" s="124" t="s">
        <v>81</v>
      </c>
      <c r="C208" s="74"/>
      <c r="D208" s="25"/>
      <c r="E208" s="25"/>
      <c r="F208" s="25"/>
      <c r="G208" s="25"/>
      <c r="H208" s="25"/>
      <c r="I208" s="25"/>
      <c r="J208" s="25"/>
      <c r="K208" s="30"/>
      <c r="L208" s="82">
        <f>N145</f>
        <v>0</v>
      </c>
      <c r="M208" s="25"/>
      <c r="N208" s="77"/>
      <c r="O208" s="85"/>
      <c r="P208" s="5"/>
    </row>
    <row r="209" spans="1:17" ht="15.6" x14ac:dyDescent="0.3">
      <c r="A209" s="81"/>
      <c r="B209" s="74" t="s">
        <v>82</v>
      </c>
      <c r="C209" s="53"/>
      <c r="D209" s="25"/>
      <c r="E209" s="25"/>
      <c r="F209" s="25"/>
      <c r="G209" s="25"/>
      <c r="H209" s="25"/>
      <c r="I209" s="25"/>
      <c r="J209" s="25"/>
      <c r="K209" s="30"/>
      <c r="L209" s="82">
        <f>'May 08'!L209+L208</f>
        <v>25</v>
      </c>
      <c r="M209" s="25"/>
      <c r="N209" s="77"/>
      <c r="O209" s="85"/>
      <c r="P209" s="5"/>
    </row>
    <row r="210" spans="1:17" ht="15.6" x14ac:dyDescent="0.3">
      <c r="A210" s="84"/>
      <c r="B210" s="117" t="s">
        <v>253</v>
      </c>
      <c r="C210" s="74"/>
      <c r="D210" s="25"/>
      <c r="E210" s="25"/>
      <c r="F210" s="25"/>
      <c r="G210" s="25"/>
      <c r="H210" s="25"/>
      <c r="I210" s="25"/>
      <c r="J210" s="25"/>
      <c r="K210" s="30"/>
      <c r="L210" s="82"/>
      <c r="M210" s="25"/>
      <c r="N210" s="77"/>
      <c r="O210" s="85"/>
      <c r="P210" s="5"/>
    </row>
    <row r="211" spans="1:17" ht="15.6" x14ac:dyDescent="0.3">
      <c r="A211" s="84"/>
      <c r="B211" s="74" t="s">
        <v>250</v>
      </c>
      <c r="C211" s="74"/>
      <c r="D211" s="25"/>
      <c r="E211" s="25"/>
      <c r="F211" s="25"/>
      <c r="G211" s="25"/>
      <c r="H211" s="25"/>
      <c r="I211" s="25"/>
      <c r="J211" s="25"/>
      <c r="K211" s="30">
        <v>0</v>
      </c>
      <c r="L211" s="82">
        <v>0</v>
      </c>
      <c r="M211" s="25"/>
      <c r="N211" s="77"/>
      <c r="O211" s="85"/>
      <c r="P211" s="5"/>
    </row>
    <row r="212" spans="1:17" ht="15.6" x14ac:dyDescent="0.3">
      <c r="A212" s="81"/>
      <c r="B212" s="74" t="s">
        <v>83</v>
      </c>
      <c r="C212" s="86"/>
      <c r="D212" s="25"/>
      <c r="E212" s="25"/>
      <c r="F212" s="25"/>
      <c r="G212" s="25"/>
      <c r="H212" s="25"/>
      <c r="I212" s="25"/>
      <c r="J212" s="25"/>
      <c r="K212" s="25"/>
      <c r="L212" s="60">
        <v>0</v>
      </c>
      <c r="M212" s="25"/>
      <c r="N212" s="77"/>
      <c r="O212" s="85"/>
      <c r="P212" s="5"/>
    </row>
    <row r="213" spans="1:17" ht="15.6" x14ac:dyDescent="0.3">
      <c r="A213" s="81"/>
      <c r="B213" s="74" t="s">
        <v>84</v>
      </c>
      <c r="C213" s="86"/>
      <c r="D213" s="25"/>
      <c r="E213" s="25"/>
      <c r="F213" s="25"/>
      <c r="G213" s="25"/>
      <c r="H213" s="25"/>
      <c r="I213" s="25"/>
      <c r="J213" s="25"/>
      <c r="K213" s="25"/>
      <c r="L213" s="60">
        <v>0</v>
      </c>
      <c r="M213" s="25"/>
      <c r="N213" s="77"/>
      <c r="O213" s="85"/>
      <c r="P213" s="5"/>
    </row>
    <row r="214" spans="1:17" ht="15.6" x14ac:dyDescent="0.3">
      <c r="A214" s="81"/>
      <c r="B214" s="117" t="s">
        <v>177</v>
      </c>
      <c r="C214" s="86"/>
      <c r="D214" s="25"/>
      <c r="E214" s="25"/>
      <c r="F214" s="25"/>
      <c r="G214" s="25"/>
      <c r="H214" s="25"/>
      <c r="I214" s="25"/>
      <c r="J214" s="25"/>
      <c r="K214" s="25"/>
      <c r="L214" s="87"/>
      <c r="M214" s="25"/>
      <c r="N214" s="77"/>
      <c r="O214" s="85"/>
      <c r="P214" s="5"/>
    </row>
    <row r="215" spans="1:17" ht="15.6" x14ac:dyDescent="0.3">
      <c r="A215" s="81"/>
      <c r="B215" s="74" t="s">
        <v>250</v>
      </c>
      <c r="C215" s="86"/>
      <c r="D215" s="25"/>
      <c r="E215" s="25"/>
      <c r="F215" s="25"/>
      <c r="G215" s="25"/>
      <c r="H215" s="25"/>
      <c r="I215" s="25"/>
      <c r="J215" s="25"/>
      <c r="K215" s="30">
        <v>0</v>
      </c>
      <c r="L215" s="82">
        <v>0</v>
      </c>
      <c r="M215" s="25"/>
      <c r="N215" s="77"/>
      <c r="O215" s="85"/>
      <c r="P215" s="5"/>
    </row>
    <row r="216" spans="1:17" ht="15.6" x14ac:dyDescent="0.3">
      <c r="A216" s="81"/>
      <c r="B216" s="74" t="s">
        <v>178</v>
      </c>
      <c r="C216" s="86"/>
      <c r="D216" s="25"/>
      <c r="E216" s="25"/>
      <c r="F216" s="25"/>
      <c r="G216" s="25"/>
      <c r="H216" s="25"/>
      <c r="I216" s="25"/>
      <c r="J216" s="25"/>
      <c r="K216" s="25"/>
      <c r="L216" s="60">
        <v>0</v>
      </c>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5.6" x14ac:dyDescent="0.3">
      <c r="A218" s="81"/>
      <c r="B218" s="74"/>
      <c r="C218" s="86"/>
      <c r="D218" s="25"/>
      <c r="E218" s="25"/>
      <c r="F218" s="25"/>
      <c r="G218" s="25"/>
      <c r="H218" s="25"/>
      <c r="I218" s="25"/>
      <c r="J218" s="25"/>
      <c r="K218" s="25"/>
      <c r="L218" s="87"/>
      <c r="M218" s="25"/>
      <c r="N218" s="77"/>
      <c r="O218" s="85"/>
      <c r="P218" s="5"/>
    </row>
    <row r="219" spans="1:17" ht="17.399999999999999" x14ac:dyDescent="0.3">
      <c r="A219" s="81"/>
      <c r="B219" s="140" t="s">
        <v>238</v>
      </c>
      <c r="C219" s="86"/>
      <c r="D219" s="25"/>
      <c r="E219" s="25"/>
      <c r="F219" s="25"/>
      <c r="G219" s="25"/>
      <c r="H219" s="180" t="s">
        <v>237</v>
      </c>
      <c r="I219" s="25"/>
      <c r="J219" s="25"/>
      <c r="K219" s="25"/>
      <c r="L219" s="87"/>
      <c r="M219" s="25"/>
      <c r="N219" s="77"/>
      <c r="O219" s="85"/>
      <c r="P219" s="5"/>
    </row>
    <row r="220" spans="1:17" ht="15.6" x14ac:dyDescent="0.3">
      <c r="A220" s="81"/>
      <c r="B220" s="74"/>
      <c r="C220" s="86"/>
      <c r="D220" s="25"/>
      <c r="E220" s="25"/>
      <c r="F220" s="25"/>
      <c r="G220" s="25"/>
      <c r="H220" s="25"/>
      <c r="I220" s="25"/>
      <c r="J220" s="25"/>
      <c r="K220" s="25"/>
      <c r="L220" s="87"/>
      <c r="M220" s="25"/>
      <c r="N220" s="77"/>
      <c r="O220" s="85"/>
      <c r="P220" s="5"/>
    </row>
    <row r="221" spans="1:17" ht="15.6" x14ac:dyDescent="0.3">
      <c r="A221" s="6"/>
      <c r="B221" s="14" t="s">
        <v>149</v>
      </c>
      <c r="C221" s="79"/>
      <c r="D221" s="17"/>
      <c r="E221" s="17"/>
      <c r="F221" s="17"/>
      <c r="G221" s="17"/>
      <c r="H221" s="17"/>
      <c r="I221" s="17"/>
      <c r="J221" s="80" t="s">
        <v>99</v>
      </c>
      <c r="K221" s="17" t="s">
        <v>100</v>
      </c>
      <c r="L221" s="80" t="s">
        <v>108</v>
      </c>
      <c r="M221" s="17" t="s">
        <v>100</v>
      </c>
      <c r="N221" s="8"/>
      <c r="O221" s="88"/>
      <c r="P221" s="5"/>
    </row>
    <row r="222" spans="1:17" ht="15.6" x14ac:dyDescent="0.3">
      <c r="A222" s="24"/>
      <c r="B222" s="53" t="s">
        <v>85</v>
      </c>
      <c r="C222" s="89"/>
      <c r="D222" s="89"/>
      <c r="E222" s="89"/>
      <c r="F222" s="89"/>
      <c r="G222" s="89"/>
      <c r="H222" s="89"/>
      <c r="I222" s="89"/>
      <c r="J222" s="53">
        <v>3497</v>
      </c>
      <c r="K222" s="90">
        <f t="shared" ref="K222:K234" si="1">J222/$J$236</f>
        <v>0.92317845828933476</v>
      </c>
      <c r="L222" s="52">
        <v>144095</v>
      </c>
      <c r="M222" s="125">
        <f t="shared" ref="M222:M234" si="2">L222/$L$236</f>
        <v>0.89153905645784992</v>
      </c>
      <c r="N222" s="77"/>
      <c r="O222" s="85"/>
      <c r="P222" s="5"/>
    </row>
    <row r="223" spans="1:17" ht="15.6" x14ac:dyDescent="0.3">
      <c r="A223" s="24"/>
      <c r="B223" s="53" t="s">
        <v>86</v>
      </c>
      <c r="C223" s="89"/>
      <c r="D223" s="89"/>
      <c r="E223" s="89"/>
      <c r="F223" s="89"/>
      <c r="G223" s="89"/>
      <c r="H223" s="89"/>
      <c r="I223" s="89"/>
      <c r="J223" s="53">
        <v>117</v>
      </c>
      <c r="K223" s="90">
        <f t="shared" si="1"/>
        <v>3.0887011615628301E-2</v>
      </c>
      <c r="L223" s="52">
        <v>6011</v>
      </c>
      <c r="M223" s="125">
        <f t="shared" si="2"/>
        <v>3.7191028615622582E-2</v>
      </c>
      <c r="N223" s="77"/>
      <c r="O223" s="85"/>
      <c r="P223" s="5"/>
      <c r="Q223" s="104"/>
    </row>
    <row r="224" spans="1:17" ht="15.6" x14ac:dyDescent="0.3">
      <c r="A224" s="24"/>
      <c r="B224" s="53" t="s">
        <v>87</v>
      </c>
      <c r="C224" s="89"/>
      <c r="D224" s="89"/>
      <c r="E224" s="89"/>
      <c r="F224" s="89"/>
      <c r="G224" s="89"/>
      <c r="H224" s="89"/>
      <c r="I224" s="89"/>
      <c r="J224" s="53">
        <v>78</v>
      </c>
      <c r="K224" s="90">
        <f t="shared" si="1"/>
        <v>2.0591341077085535E-2</v>
      </c>
      <c r="L224" s="52">
        <v>4516</v>
      </c>
      <c r="M224" s="125">
        <f t="shared" si="2"/>
        <v>2.7941221964423821E-2</v>
      </c>
      <c r="N224" s="77"/>
      <c r="O224" s="85"/>
      <c r="P224" s="5"/>
    </row>
    <row r="225" spans="1:17" ht="15.6" x14ac:dyDescent="0.3">
      <c r="A225" s="24"/>
      <c r="B225" s="53" t="s">
        <v>145</v>
      </c>
      <c r="C225" s="89"/>
      <c r="D225" s="89"/>
      <c r="E225" s="89"/>
      <c r="F225" s="89"/>
      <c r="G225" s="89"/>
      <c r="H225" s="89"/>
      <c r="I225" s="89"/>
      <c r="J225" s="53">
        <v>27</v>
      </c>
      <c r="K225" s="90">
        <f t="shared" si="1"/>
        <v>7.1277719112988382E-3</v>
      </c>
      <c r="L225" s="52">
        <v>1424</v>
      </c>
      <c r="M225" s="125">
        <f t="shared" si="2"/>
        <v>8.8105181747873164E-3</v>
      </c>
      <c r="N225" s="77"/>
      <c r="O225" s="85"/>
      <c r="P225" s="5"/>
      <c r="Q225" s="104"/>
    </row>
    <row r="226" spans="1:17" ht="15.6" x14ac:dyDescent="0.3">
      <c r="A226" s="24"/>
      <c r="B226" s="53" t="s">
        <v>146</v>
      </c>
      <c r="C226" s="89"/>
      <c r="D226" s="89"/>
      <c r="E226" s="89"/>
      <c r="F226" s="89"/>
      <c r="G226" s="89"/>
      <c r="H226" s="89"/>
      <c r="I226" s="89"/>
      <c r="J226" s="53">
        <v>11</v>
      </c>
      <c r="K226" s="90">
        <f t="shared" si="1"/>
        <v>2.903907074973601E-3</v>
      </c>
      <c r="L226" s="52">
        <v>635</v>
      </c>
      <c r="M226" s="125">
        <f t="shared" si="2"/>
        <v>3.9288476411446253E-3</v>
      </c>
      <c r="N226" s="77"/>
      <c r="O226" s="85"/>
      <c r="P226" s="5"/>
    </row>
    <row r="227" spans="1:17" ht="15.6" x14ac:dyDescent="0.3">
      <c r="A227" s="24"/>
      <c r="B227" s="53" t="s">
        <v>147</v>
      </c>
      <c r="C227" s="89"/>
      <c r="D227" s="89"/>
      <c r="E227" s="89"/>
      <c r="F227" s="89"/>
      <c r="G227" s="89"/>
      <c r="H227" s="89"/>
      <c r="I227" s="89"/>
      <c r="J227" s="53">
        <v>10</v>
      </c>
      <c r="K227" s="90">
        <f t="shared" si="1"/>
        <v>2.6399155227032735E-3</v>
      </c>
      <c r="L227" s="52">
        <v>730</v>
      </c>
      <c r="M227" s="125">
        <f t="shared" si="2"/>
        <v>4.516627996906419E-3</v>
      </c>
      <c r="N227" s="77"/>
      <c r="O227" s="85"/>
      <c r="P227" s="5"/>
      <c r="Q227" s="104"/>
    </row>
    <row r="228" spans="1:17" ht="15.6" x14ac:dyDescent="0.3">
      <c r="A228" s="24"/>
      <c r="B228" s="53" t="s">
        <v>227</v>
      </c>
      <c r="C228" s="89"/>
      <c r="D228" s="89"/>
      <c r="E228" s="89"/>
      <c r="F228" s="89"/>
      <c r="G228" s="89"/>
      <c r="H228" s="89"/>
      <c r="I228" s="89"/>
      <c r="J228" s="53">
        <v>23</v>
      </c>
      <c r="K228" s="90">
        <f t="shared" si="1"/>
        <v>6.0718057022175293E-3</v>
      </c>
      <c r="L228" s="52">
        <v>1496</v>
      </c>
      <c r="M228" s="125">
        <f t="shared" si="2"/>
        <v>9.2559938128383597E-3</v>
      </c>
      <c r="N228" s="77"/>
      <c r="O228" s="85"/>
      <c r="P228" s="5"/>
    </row>
    <row r="229" spans="1:17" ht="15.6" x14ac:dyDescent="0.3">
      <c r="A229" s="24"/>
      <c r="B229" s="53" t="s">
        <v>228</v>
      </c>
      <c r="C229" s="89"/>
      <c r="D229" s="89"/>
      <c r="E229" s="89"/>
      <c r="F229" s="89"/>
      <c r="G229" s="89"/>
      <c r="H229" s="89"/>
      <c r="I229" s="89"/>
      <c r="J229" s="53">
        <v>10</v>
      </c>
      <c r="K229" s="90">
        <f t="shared" si="1"/>
        <v>2.6399155227032735E-3</v>
      </c>
      <c r="L229" s="52">
        <v>656</v>
      </c>
      <c r="M229" s="125">
        <f t="shared" si="2"/>
        <v>4.058778035576179E-3</v>
      </c>
      <c r="N229" s="77"/>
      <c r="O229" s="85"/>
      <c r="P229" s="5"/>
      <c r="Q229" s="104"/>
    </row>
    <row r="230" spans="1:17" ht="15.6" x14ac:dyDescent="0.3">
      <c r="A230" s="24"/>
      <c r="B230" s="53" t="s">
        <v>229</v>
      </c>
      <c r="C230" s="89"/>
      <c r="D230" s="89"/>
      <c r="E230" s="89"/>
      <c r="F230" s="89"/>
      <c r="G230" s="89"/>
      <c r="H230" s="89"/>
      <c r="I230" s="89"/>
      <c r="J230" s="53">
        <v>5</v>
      </c>
      <c r="K230" s="90">
        <f t="shared" si="1"/>
        <v>1.3199577613516368E-3</v>
      </c>
      <c r="L230" s="52">
        <v>254</v>
      </c>
      <c r="M230" s="125">
        <f t="shared" si="2"/>
        <v>1.5715390564578499E-3</v>
      </c>
      <c r="N230" s="77"/>
      <c r="O230" s="85"/>
      <c r="P230" s="5"/>
      <c r="Q230" s="104"/>
    </row>
    <row r="231" spans="1:17" ht="15.6" x14ac:dyDescent="0.3">
      <c r="A231" s="24"/>
      <c r="B231" s="53" t="s">
        <v>230</v>
      </c>
      <c r="C231" s="89"/>
      <c r="D231" s="89"/>
      <c r="E231" s="89"/>
      <c r="F231" s="89"/>
      <c r="G231" s="89"/>
      <c r="H231" s="89"/>
      <c r="I231" s="89"/>
      <c r="J231" s="53">
        <v>3</v>
      </c>
      <c r="K231" s="90">
        <f t="shared" si="1"/>
        <v>7.919746568109821E-4</v>
      </c>
      <c r="L231" s="52">
        <v>1138</v>
      </c>
      <c r="M231" s="125">
        <f t="shared" si="2"/>
        <v>7.0409899458623356E-3</v>
      </c>
      <c r="N231" s="77"/>
      <c r="O231" s="85"/>
      <c r="P231" s="5"/>
      <c r="Q231" s="104"/>
    </row>
    <row r="232" spans="1:17" ht="15.6" x14ac:dyDescent="0.3">
      <c r="A232" s="24"/>
      <c r="B232" s="53" t="s">
        <v>231</v>
      </c>
      <c r="C232" s="89"/>
      <c r="D232" s="89"/>
      <c r="E232" s="89"/>
      <c r="F232" s="89"/>
      <c r="G232" s="89"/>
      <c r="H232" s="89"/>
      <c r="I232" s="89"/>
      <c r="J232" s="53">
        <v>3</v>
      </c>
      <c r="K232" s="90">
        <f t="shared" si="1"/>
        <v>7.919746568109821E-4</v>
      </c>
      <c r="L232" s="52">
        <v>421</v>
      </c>
      <c r="M232" s="125">
        <f t="shared" si="2"/>
        <v>2.6047950502706882E-3</v>
      </c>
      <c r="N232" s="77"/>
      <c r="O232" s="85"/>
      <c r="P232" s="5"/>
      <c r="Q232" s="104"/>
    </row>
    <row r="233" spans="1:17" ht="15.6" x14ac:dyDescent="0.3">
      <c r="A233" s="24"/>
      <c r="B233" s="53" t="s">
        <v>232</v>
      </c>
      <c r="C233" s="89"/>
      <c r="D233" s="89"/>
      <c r="E233" s="89"/>
      <c r="F233" s="89"/>
      <c r="G233" s="89"/>
      <c r="H233" s="89"/>
      <c r="I233" s="89"/>
      <c r="J233" s="53">
        <v>2</v>
      </c>
      <c r="K233" s="90">
        <f t="shared" si="1"/>
        <v>5.2798310454065466E-4</v>
      </c>
      <c r="L233" s="52">
        <v>227</v>
      </c>
      <c r="M233" s="125">
        <f t="shared" si="2"/>
        <v>1.4044856921887085E-3</v>
      </c>
      <c r="N233" s="77"/>
      <c r="O233" s="85"/>
      <c r="P233" s="5"/>
      <c r="Q233" s="104"/>
    </row>
    <row r="234" spans="1:17" ht="15.6" x14ac:dyDescent="0.3">
      <c r="A234" s="24"/>
      <c r="B234" s="53" t="s">
        <v>233</v>
      </c>
      <c r="C234" s="89"/>
      <c r="D234" s="89"/>
      <c r="E234" s="89"/>
      <c r="F234" s="89"/>
      <c r="G234" s="89"/>
      <c r="H234" s="89"/>
      <c r="I234" s="89"/>
      <c r="J234" s="53">
        <v>2</v>
      </c>
      <c r="K234" s="90">
        <f t="shared" si="1"/>
        <v>5.2798310454065466E-4</v>
      </c>
      <c r="L234" s="52">
        <v>22</v>
      </c>
      <c r="M234" s="125">
        <f t="shared" si="2"/>
        <v>1.3611755607115237E-4</v>
      </c>
      <c r="N234" s="77"/>
      <c r="O234" s="85"/>
      <c r="P234" s="5"/>
      <c r="Q234" s="104"/>
    </row>
    <row r="235" spans="1:17" ht="15.6" x14ac:dyDescent="0.3">
      <c r="A235" s="24"/>
      <c r="B235" s="53"/>
      <c r="C235" s="89"/>
      <c r="D235" s="89"/>
      <c r="E235" s="89"/>
      <c r="F235" s="89"/>
      <c r="G235" s="89"/>
      <c r="H235" s="89"/>
      <c r="I235" s="89"/>
      <c r="J235" s="53"/>
      <c r="K235" s="90"/>
      <c r="L235" s="52"/>
      <c r="M235" s="125"/>
      <c r="N235" s="77"/>
      <c r="O235" s="85"/>
      <c r="P235" s="5"/>
      <c r="Q235" s="104"/>
    </row>
    <row r="236" spans="1:17" ht="15.6" x14ac:dyDescent="0.3">
      <c r="A236" s="24"/>
      <c r="B236" s="25"/>
      <c r="C236" s="25"/>
      <c r="D236" s="91"/>
      <c r="E236" s="91"/>
      <c r="F236" s="91"/>
      <c r="G236" s="91"/>
      <c r="H236" s="91"/>
      <c r="I236" s="91"/>
      <c r="J236" s="34">
        <f>SUM(J222:J235)</f>
        <v>3788</v>
      </c>
      <c r="K236" s="125">
        <f>SUM(K222:K235)</f>
        <v>1</v>
      </c>
      <c r="L236" s="52">
        <f>SUM(L222:L235)</f>
        <v>161625</v>
      </c>
      <c r="M236" s="125">
        <f>SUM(M222:M235)</f>
        <v>1.0000000000000002</v>
      </c>
      <c r="N236" s="25"/>
      <c r="O236" s="25"/>
      <c r="P236" s="5"/>
    </row>
    <row r="237" spans="1:17" ht="15.6" x14ac:dyDescent="0.3">
      <c r="A237" s="24"/>
      <c r="B237" s="25"/>
      <c r="C237" s="25"/>
      <c r="D237" s="91"/>
      <c r="E237" s="91"/>
      <c r="F237" s="91"/>
      <c r="G237" s="91"/>
      <c r="H237" s="91"/>
      <c r="I237" s="91"/>
      <c r="J237" s="34"/>
      <c r="K237" s="125"/>
      <c r="L237" s="52"/>
      <c r="M237" s="125"/>
      <c r="N237" s="25"/>
      <c r="O237" s="25"/>
      <c r="P237" s="5"/>
    </row>
    <row r="238" spans="1:17" ht="15.6" x14ac:dyDescent="0.3">
      <c r="A238" s="133"/>
      <c r="B238" s="14" t="s">
        <v>204</v>
      </c>
      <c r="C238" s="79"/>
      <c r="D238" s="17"/>
      <c r="E238" s="17"/>
      <c r="F238" s="17"/>
      <c r="G238" s="17"/>
      <c r="H238" s="17"/>
      <c r="I238" s="17"/>
      <c r="J238" s="80" t="s">
        <v>99</v>
      </c>
      <c r="K238" s="17" t="s">
        <v>100</v>
      </c>
      <c r="L238" s="80" t="s">
        <v>108</v>
      </c>
      <c r="M238" s="17" t="s">
        <v>100</v>
      </c>
      <c r="N238" s="131"/>
      <c r="O238" s="132"/>
      <c r="P238" s="5"/>
    </row>
    <row r="239" spans="1:17" ht="15.6" x14ac:dyDescent="0.3">
      <c r="A239" s="24"/>
      <c r="B239" s="53" t="s">
        <v>85</v>
      </c>
      <c r="C239" s="89"/>
      <c r="D239" s="89"/>
      <c r="E239" s="89"/>
      <c r="F239" s="89"/>
      <c r="G239" s="89"/>
      <c r="H239" s="89"/>
      <c r="I239" s="89"/>
      <c r="J239" s="53">
        <v>0</v>
      </c>
      <c r="K239" s="90">
        <v>0</v>
      </c>
      <c r="L239" s="52">
        <v>0</v>
      </c>
      <c r="M239" s="125">
        <v>0</v>
      </c>
      <c r="N239" s="25"/>
      <c r="O239" s="25"/>
      <c r="P239" s="5"/>
    </row>
    <row r="240" spans="1:17" ht="15.6" x14ac:dyDescent="0.3">
      <c r="A240" s="24"/>
      <c r="B240" s="53" t="s">
        <v>86</v>
      </c>
      <c r="C240" s="89"/>
      <c r="D240" s="89"/>
      <c r="E240" s="89"/>
      <c r="F240" s="89"/>
      <c r="G240" s="89"/>
      <c r="H240" s="89"/>
      <c r="I240" s="89"/>
      <c r="J240" s="53">
        <v>0</v>
      </c>
      <c r="K240" s="90">
        <v>0</v>
      </c>
      <c r="L240" s="52">
        <v>0</v>
      </c>
      <c r="M240" s="125">
        <v>0</v>
      </c>
      <c r="N240" s="25"/>
      <c r="O240" s="25"/>
      <c r="P240" s="5"/>
    </row>
    <row r="241" spans="1:16" ht="15.6" x14ac:dyDescent="0.3">
      <c r="A241" s="24"/>
      <c r="B241" s="53" t="s">
        <v>87</v>
      </c>
      <c r="C241" s="89"/>
      <c r="D241" s="89"/>
      <c r="E241" s="89"/>
      <c r="F241" s="89"/>
      <c r="G241" s="89"/>
      <c r="H241" s="89"/>
      <c r="I241" s="89"/>
      <c r="J241" s="53">
        <v>0</v>
      </c>
      <c r="K241" s="90">
        <v>0</v>
      </c>
      <c r="L241" s="52">
        <v>0</v>
      </c>
      <c r="M241" s="125">
        <v>0</v>
      </c>
      <c r="N241" s="25"/>
      <c r="O241" s="25"/>
      <c r="P241" s="5"/>
    </row>
    <row r="242" spans="1:16" ht="15.6" x14ac:dyDescent="0.3">
      <c r="A242" s="24"/>
      <c r="B242" s="53" t="s">
        <v>145</v>
      </c>
      <c r="C242" s="89"/>
      <c r="D242" s="89"/>
      <c r="E242" s="89"/>
      <c r="F242" s="89"/>
      <c r="G242" s="89"/>
      <c r="H242" s="89"/>
      <c r="I242" s="89"/>
      <c r="J242" s="53">
        <v>0</v>
      </c>
      <c r="K242" s="90">
        <v>0</v>
      </c>
      <c r="L242" s="52">
        <v>0</v>
      </c>
      <c r="M242" s="125">
        <v>0</v>
      </c>
      <c r="N242" s="25"/>
      <c r="O242" s="25"/>
      <c r="P242" s="5"/>
    </row>
    <row r="243" spans="1:16" ht="15.6" x14ac:dyDescent="0.3">
      <c r="A243" s="24"/>
      <c r="B243" s="53" t="s">
        <v>146</v>
      </c>
      <c r="C243" s="89"/>
      <c r="D243" s="89"/>
      <c r="E243" s="89"/>
      <c r="F243" s="89"/>
      <c r="G243" s="89"/>
      <c r="H243" s="89"/>
      <c r="I243" s="89"/>
      <c r="J243" s="53">
        <v>0</v>
      </c>
      <c r="K243" s="90">
        <v>0</v>
      </c>
      <c r="L243" s="52">
        <v>0</v>
      </c>
      <c r="M243" s="125">
        <v>0</v>
      </c>
      <c r="N243" s="25"/>
      <c r="O243" s="25"/>
      <c r="P243" s="5"/>
    </row>
    <row r="244" spans="1:16" ht="15.6" x14ac:dyDescent="0.3">
      <c r="A244" s="24"/>
      <c r="B244" s="53" t="s">
        <v>147</v>
      </c>
      <c r="C244" s="89"/>
      <c r="D244" s="89"/>
      <c r="E244" s="89"/>
      <c r="F244" s="89"/>
      <c r="G244" s="89"/>
      <c r="H244" s="89"/>
      <c r="I244" s="89"/>
      <c r="J244" s="53">
        <v>0</v>
      </c>
      <c r="K244" s="90">
        <v>0</v>
      </c>
      <c r="L244" s="52">
        <v>0</v>
      </c>
      <c r="M244" s="125">
        <v>0</v>
      </c>
      <c r="N244" s="25"/>
      <c r="O244" s="25"/>
      <c r="P244" s="5"/>
    </row>
    <row r="245" spans="1:16" ht="15.6" x14ac:dyDescent="0.3">
      <c r="A245" s="24"/>
      <c r="B245" s="53" t="s">
        <v>227</v>
      </c>
      <c r="C245" s="89"/>
      <c r="D245" s="89"/>
      <c r="E245" s="89"/>
      <c r="F245" s="89"/>
      <c r="G245" s="89"/>
      <c r="H245" s="89"/>
      <c r="I245" s="89"/>
      <c r="J245" s="53">
        <v>0</v>
      </c>
      <c r="K245" s="90">
        <v>0</v>
      </c>
      <c r="L245" s="52">
        <v>0</v>
      </c>
      <c r="M245" s="125">
        <v>0</v>
      </c>
      <c r="N245" s="25"/>
      <c r="O245" s="25"/>
      <c r="P245" s="5"/>
    </row>
    <row r="246" spans="1:16" ht="15.6" x14ac:dyDescent="0.3">
      <c r="A246" s="24"/>
      <c r="B246" s="53" t="s">
        <v>228</v>
      </c>
      <c r="C246" s="89"/>
      <c r="D246" s="89"/>
      <c r="E246" s="89"/>
      <c r="F246" s="89"/>
      <c r="G246" s="89"/>
      <c r="H246" s="89"/>
      <c r="I246" s="89"/>
      <c r="J246" s="53">
        <v>0</v>
      </c>
      <c r="K246" s="90">
        <v>0</v>
      </c>
      <c r="L246" s="52">
        <v>0</v>
      </c>
      <c r="M246" s="125">
        <v>0</v>
      </c>
      <c r="N246" s="25"/>
      <c r="O246" s="25"/>
      <c r="P246" s="5"/>
    </row>
    <row r="247" spans="1:16" ht="15.6" x14ac:dyDescent="0.3">
      <c r="A247" s="24"/>
      <c r="B247" s="53" t="s">
        <v>229</v>
      </c>
      <c r="C247" s="89"/>
      <c r="D247" s="89"/>
      <c r="E247" s="89"/>
      <c r="F247" s="89"/>
      <c r="G247" s="89"/>
      <c r="H247" s="89"/>
      <c r="I247" s="89"/>
      <c r="J247" s="53">
        <v>0</v>
      </c>
      <c r="K247" s="90">
        <v>0</v>
      </c>
      <c r="L247" s="52">
        <v>0</v>
      </c>
      <c r="M247" s="125">
        <v>0</v>
      </c>
      <c r="N247" s="25"/>
      <c r="O247" s="25"/>
      <c r="P247" s="5"/>
    </row>
    <row r="248" spans="1:16" ht="15.6" x14ac:dyDescent="0.3">
      <c r="A248" s="24"/>
      <c r="B248" s="53" t="s">
        <v>230</v>
      </c>
      <c r="C248" s="89"/>
      <c r="D248" s="89"/>
      <c r="E248" s="89"/>
      <c r="F248" s="89"/>
      <c r="G248" s="89"/>
      <c r="H248" s="89"/>
      <c r="I248" s="89"/>
      <c r="J248" s="53">
        <v>0</v>
      </c>
      <c r="K248" s="90">
        <v>0</v>
      </c>
      <c r="L248" s="52">
        <v>0</v>
      </c>
      <c r="M248" s="125">
        <v>0</v>
      </c>
      <c r="N248" s="25"/>
      <c r="O248" s="25"/>
      <c r="P248" s="5"/>
    </row>
    <row r="249" spans="1:16" ht="15.6" x14ac:dyDescent="0.3">
      <c r="A249" s="24"/>
      <c r="B249" s="53" t="s">
        <v>231</v>
      </c>
      <c r="C249" s="89"/>
      <c r="D249" s="89"/>
      <c r="E249" s="89"/>
      <c r="F249" s="89"/>
      <c r="G249" s="89"/>
      <c r="H249" s="89"/>
      <c r="I249" s="89"/>
      <c r="J249" s="53">
        <v>0</v>
      </c>
      <c r="K249" s="90">
        <v>0</v>
      </c>
      <c r="L249" s="52">
        <v>0</v>
      </c>
      <c r="M249" s="125">
        <v>0</v>
      </c>
      <c r="N249" s="25"/>
      <c r="O249" s="25"/>
      <c r="P249" s="5"/>
    </row>
    <row r="250" spans="1:16" ht="15.6" x14ac:dyDescent="0.3">
      <c r="A250" s="24"/>
      <c r="B250" s="53" t="s">
        <v>232</v>
      </c>
      <c r="C250" s="89"/>
      <c r="D250" s="89"/>
      <c r="E250" s="89"/>
      <c r="F250" s="89"/>
      <c r="G250" s="89"/>
      <c r="H250" s="89"/>
      <c r="I250" s="89"/>
      <c r="J250" s="53">
        <v>0</v>
      </c>
      <c r="K250" s="90">
        <v>0</v>
      </c>
      <c r="L250" s="52">
        <v>0</v>
      </c>
      <c r="M250" s="125">
        <v>0</v>
      </c>
      <c r="N250" s="25"/>
      <c r="O250" s="25"/>
      <c r="P250" s="5"/>
    </row>
    <row r="251" spans="1:16" ht="15.6" x14ac:dyDescent="0.3">
      <c r="A251" s="24"/>
      <c r="B251" s="53" t="s">
        <v>233</v>
      </c>
      <c r="C251" s="89"/>
      <c r="D251" s="89"/>
      <c r="E251" s="89"/>
      <c r="F251" s="89"/>
      <c r="G251" s="89"/>
      <c r="H251" s="89"/>
      <c r="I251" s="89"/>
      <c r="J251" s="53">
        <v>0</v>
      </c>
      <c r="K251" s="90">
        <v>0</v>
      </c>
      <c r="L251" s="52">
        <v>0</v>
      </c>
      <c r="M251" s="125">
        <v>0</v>
      </c>
      <c r="N251" s="25"/>
      <c r="O251" s="25"/>
      <c r="P251" s="5"/>
    </row>
    <row r="252" spans="1:16" ht="15.6" x14ac:dyDescent="0.3">
      <c r="A252" s="24"/>
      <c r="B252" s="53"/>
      <c r="C252" s="89"/>
      <c r="D252" s="89"/>
      <c r="E252" s="89"/>
      <c r="F252" s="89"/>
      <c r="G252" s="89"/>
      <c r="H252" s="89"/>
      <c r="I252" s="89"/>
      <c r="J252" s="53"/>
      <c r="K252" s="90"/>
      <c r="L252" s="52"/>
      <c r="M252" s="125"/>
      <c r="N252" s="25"/>
      <c r="O252" s="25"/>
      <c r="P252" s="5"/>
    </row>
    <row r="253" spans="1:16" ht="15.6" x14ac:dyDescent="0.3">
      <c r="A253" s="24"/>
      <c r="B253" s="25"/>
      <c r="C253" s="25"/>
      <c r="D253" s="91"/>
      <c r="E253" s="91"/>
      <c r="F253" s="91"/>
      <c r="G253" s="91"/>
      <c r="H253" s="91"/>
      <c r="I253" s="91"/>
      <c r="J253" s="34">
        <f>SUM(J239:J252)</f>
        <v>0</v>
      </c>
      <c r="K253" s="125">
        <f>SUM(K239:K252)</f>
        <v>0</v>
      </c>
      <c r="L253" s="52">
        <f>SUM(L239:L252)</f>
        <v>0</v>
      </c>
      <c r="M253" s="125">
        <f>SUM(M239:M252)</f>
        <v>0</v>
      </c>
      <c r="N253" s="25"/>
      <c r="O253" s="25"/>
      <c r="P253" s="5"/>
    </row>
    <row r="254" spans="1:16" ht="15.6" x14ac:dyDescent="0.3">
      <c r="A254" s="24"/>
      <c r="B254" s="25"/>
      <c r="C254" s="25"/>
      <c r="D254" s="91"/>
      <c r="E254" s="91"/>
      <c r="F254" s="91"/>
      <c r="G254" s="91"/>
      <c r="H254" s="91"/>
      <c r="I254" s="91"/>
      <c r="J254" s="34"/>
      <c r="K254" s="125"/>
      <c r="L254" s="52"/>
      <c r="M254" s="125"/>
      <c r="N254" s="25"/>
      <c r="O254" s="25"/>
      <c r="P254" s="5"/>
    </row>
    <row r="255" spans="1:16" ht="15.6" x14ac:dyDescent="0.3">
      <c r="A255" s="133"/>
      <c r="B255" s="14" t="s">
        <v>150</v>
      </c>
      <c r="C255" s="131"/>
      <c r="D255" s="137"/>
      <c r="E255" s="137"/>
      <c r="F255" s="137"/>
      <c r="G255" s="137"/>
      <c r="H255" s="137"/>
      <c r="I255" s="137"/>
      <c r="J255" s="80" t="s">
        <v>99</v>
      </c>
      <c r="K255" s="17" t="s">
        <v>100</v>
      </c>
      <c r="L255" s="80" t="s">
        <v>108</v>
      </c>
      <c r="M255" s="17" t="s">
        <v>100</v>
      </c>
      <c r="N255" s="131"/>
      <c r="O255" s="132"/>
      <c r="P255" s="5"/>
    </row>
    <row r="256" spans="1:16" ht="15.6" x14ac:dyDescent="0.3">
      <c r="A256" s="24"/>
      <c r="B256" s="53" t="s">
        <v>85</v>
      </c>
      <c r="C256" s="25"/>
      <c r="D256" s="91"/>
      <c r="E256" s="91"/>
      <c r="F256" s="91"/>
      <c r="G256" s="91"/>
      <c r="H256" s="91"/>
      <c r="I256" s="91"/>
      <c r="J256" s="53">
        <v>0</v>
      </c>
      <c r="K256" s="90">
        <v>0</v>
      </c>
      <c r="L256" s="52">
        <v>0</v>
      </c>
      <c r="M256" s="125">
        <v>0</v>
      </c>
      <c r="N256" s="25"/>
      <c r="O256" s="25"/>
      <c r="P256" s="5"/>
    </row>
    <row r="257" spans="1:16" ht="15.6" x14ac:dyDescent="0.3">
      <c r="A257" s="24"/>
      <c r="B257" s="53" t="s">
        <v>86</v>
      </c>
      <c r="C257" s="25"/>
      <c r="D257" s="91"/>
      <c r="E257" s="91"/>
      <c r="F257" s="91"/>
      <c r="G257" s="91"/>
      <c r="H257" s="91"/>
      <c r="I257" s="91"/>
      <c r="J257" s="53">
        <v>0</v>
      </c>
      <c r="K257" s="90">
        <v>0</v>
      </c>
      <c r="L257" s="52">
        <v>0</v>
      </c>
      <c r="M257" s="125">
        <v>0</v>
      </c>
      <c r="N257" s="25"/>
      <c r="O257" s="25"/>
      <c r="P257" s="5"/>
    </row>
    <row r="258" spans="1:16" ht="15.6" x14ac:dyDescent="0.3">
      <c r="A258" s="24"/>
      <c r="B258" s="53" t="s">
        <v>87</v>
      </c>
      <c r="C258" s="25"/>
      <c r="D258" s="91"/>
      <c r="E258" s="91"/>
      <c r="F258" s="91"/>
      <c r="G258" s="91"/>
      <c r="H258" s="91"/>
      <c r="I258" s="91"/>
      <c r="J258" s="53">
        <v>0</v>
      </c>
      <c r="K258" s="90">
        <v>0</v>
      </c>
      <c r="L258" s="52">
        <v>0</v>
      </c>
      <c r="M258" s="125">
        <v>0</v>
      </c>
      <c r="N258" s="25"/>
      <c r="O258" s="25"/>
      <c r="P258" s="5"/>
    </row>
    <row r="259" spans="1:16" ht="15.6" x14ac:dyDescent="0.3">
      <c r="A259" s="24"/>
      <c r="B259" s="53" t="s">
        <v>145</v>
      </c>
      <c r="C259" s="25"/>
      <c r="D259" s="91"/>
      <c r="E259" s="91"/>
      <c r="F259" s="91"/>
      <c r="G259" s="91"/>
      <c r="H259" s="91"/>
      <c r="I259" s="91"/>
      <c r="J259" s="53">
        <v>0</v>
      </c>
      <c r="K259" s="90">
        <v>0</v>
      </c>
      <c r="L259" s="52">
        <v>0</v>
      </c>
      <c r="M259" s="125">
        <v>0</v>
      </c>
      <c r="N259" s="25"/>
      <c r="O259" s="25"/>
      <c r="P259" s="5"/>
    </row>
    <row r="260" spans="1:16" ht="15.6" x14ac:dyDescent="0.3">
      <c r="A260" s="24"/>
      <c r="B260" s="53" t="s">
        <v>146</v>
      </c>
      <c r="C260" s="25"/>
      <c r="D260" s="91"/>
      <c r="E260" s="91"/>
      <c r="F260" s="91"/>
      <c r="G260" s="91"/>
      <c r="H260" s="91"/>
      <c r="I260" s="91"/>
      <c r="J260" s="53">
        <v>0</v>
      </c>
      <c r="K260" s="90">
        <v>0</v>
      </c>
      <c r="L260" s="52">
        <v>0</v>
      </c>
      <c r="M260" s="125">
        <v>0</v>
      </c>
      <c r="N260" s="25"/>
      <c r="O260" s="25"/>
      <c r="P260" s="5"/>
    </row>
    <row r="261" spans="1:16" ht="15.6" x14ac:dyDescent="0.3">
      <c r="A261" s="24"/>
      <c r="B261" s="53" t="s">
        <v>147</v>
      </c>
      <c r="C261" s="25"/>
      <c r="D261" s="91"/>
      <c r="E261" s="91"/>
      <c r="F261" s="91"/>
      <c r="G261" s="91"/>
      <c r="H261" s="91"/>
      <c r="I261" s="91"/>
      <c r="J261" s="53">
        <v>0</v>
      </c>
      <c r="K261" s="90">
        <v>0</v>
      </c>
      <c r="L261" s="52">
        <v>0</v>
      </c>
      <c r="M261" s="125">
        <v>0</v>
      </c>
      <c r="N261" s="25"/>
      <c r="O261" s="25"/>
      <c r="P261" s="5"/>
    </row>
    <row r="262" spans="1:16" ht="15.6" x14ac:dyDescent="0.3">
      <c r="A262" s="24"/>
      <c r="B262" s="53" t="s">
        <v>227</v>
      </c>
      <c r="C262" s="25"/>
      <c r="D262" s="91"/>
      <c r="E262" s="91"/>
      <c r="F262" s="91"/>
      <c r="G262" s="91"/>
      <c r="H262" s="91"/>
      <c r="I262" s="91"/>
      <c r="J262" s="53">
        <v>0</v>
      </c>
      <c r="K262" s="90">
        <v>0</v>
      </c>
      <c r="L262" s="52">
        <v>0</v>
      </c>
      <c r="M262" s="125">
        <v>0</v>
      </c>
      <c r="N262" s="25"/>
      <c r="O262" s="25"/>
      <c r="P262" s="5"/>
    </row>
    <row r="263" spans="1:16" ht="15.6" x14ac:dyDescent="0.3">
      <c r="A263" s="24"/>
      <c r="B263" s="53" t="s">
        <v>228</v>
      </c>
      <c r="C263" s="25"/>
      <c r="D263" s="91"/>
      <c r="E263" s="91"/>
      <c r="F263" s="91"/>
      <c r="G263" s="91"/>
      <c r="H263" s="91"/>
      <c r="I263" s="91"/>
      <c r="J263" s="53">
        <v>0</v>
      </c>
      <c r="K263" s="90">
        <v>0</v>
      </c>
      <c r="L263" s="52">
        <v>0</v>
      </c>
      <c r="M263" s="125">
        <v>0</v>
      </c>
      <c r="N263" s="25"/>
      <c r="O263" s="25"/>
      <c r="P263" s="5"/>
    </row>
    <row r="264" spans="1:16" ht="15.6" x14ac:dyDescent="0.3">
      <c r="A264" s="24"/>
      <c r="B264" s="53" t="s">
        <v>229</v>
      </c>
      <c r="C264" s="25"/>
      <c r="D264" s="91"/>
      <c r="E264" s="91"/>
      <c r="F264" s="91"/>
      <c r="G264" s="91"/>
      <c r="H264" s="91"/>
      <c r="I264" s="91"/>
      <c r="J264" s="53">
        <v>0</v>
      </c>
      <c r="K264" s="90">
        <v>0</v>
      </c>
      <c r="L264" s="52">
        <v>0</v>
      </c>
      <c r="M264" s="125">
        <v>0</v>
      </c>
      <c r="N264" s="25"/>
      <c r="O264" s="25"/>
      <c r="P264" s="5"/>
    </row>
    <row r="265" spans="1:16" ht="15.6" x14ac:dyDescent="0.3">
      <c r="A265" s="24"/>
      <c r="B265" s="53" t="s">
        <v>230</v>
      </c>
      <c r="C265" s="25"/>
      <c r="D265" s="91"/>
      <c r="E265" s="91"/>
      <c r="F265" s="91"/>
      <c r="G265" s="91"/>
      <c r="H265" s="91"/>
      <c r="I265" s="91"/>
      <c r="J265" s="53">
        <v>0</v>
      </c>
      <c r="K265" s="90">
        <v>0</v>
      </c>
      <c r="L265" s="52">
        <v>0</v>
      </c>
      <c r="M265" s="125">
        <v>0</v>
      </c>
      <c r="N265" s="25"/>
      <c r="O265" s="25"/>
      <c r="P265" s="5"/>
    </row>
    <row r="266" spans="1:16" ht="15.6" x14ac:dyDescent="0.3">
      <c r="A266" s="24"/>
      <c r="B266" s="53" t="s">
        <v>231</v>
      </c>
      <c r="C266" s="25"/>
      <c r="D266" s="91"/>
      <c r="E266" s="91"/>
      <c r="F266" s="91"/>
      <c r="G266" s="91"/>
      <c r="H266" s="91"/>
      <c r="I266" s="91"/>
      <c r="J266" s="53">
        <v>0</v>
      </c>
      <c r="K266" s="90">
        <v>0</v>
      </c>
      <c r="L266" s="52">
        <v>0</v>
      </c>
      <c r="M266" s="125">
        <v>0</v>
      </c>
      <c r="N266" s="25"/>
      <c r="O266" s="25"/>
      <c r="P266" s="5"/>
    </row>
    <row r="267" spans="1:16" ht="15.6" x14ac:dyDescent="0.3">
      <c r="A267" s="24"/>
      <c r="B267" s="53" t="s">
        <v>232</v>
      </c>
      <c r="C267" s="25"/>
      <c r="D267" s="91"/>
      <c r="E267" s="91"/>
      <c r="F267" s="91"/>
      <c r="G267" s="91"/>
      <c r="H267" s="91"/>
      <c r="I267" s="91"/>
      <c r="J267" s="53">
        <v>0</v>
      </c>
      <c r="K267" s="90">
        <v>0</v>
      </c>
      <c r="L267" s="52">
        <v>0</v>
      </c>
      <c r="M267" s="125">
        <v>0</v>
      </c>
      <c r="N267" s="25"/>
      <c r="O267" s="25"/>
      <c r="P267" s="5"/>
    </row>
    <row r="268" spans="1:16" ht="15.6" x14ac:dyDescent="0.3">
      <c r="A268" s="24"/>
      <c r="B268" s="53" t="s">
        <v>233</v>
      </c>
      <c r="C268" s="25"/>
      <c r="D268" s="91"/>
      <c r="E268" s="91"/>
      <c r="F268" s="91"/>
      <c r="G268" s="91"/>
      <c r="H268" s="91"/>
      <c r="I268" s="91"/>
      <c r="J268" s="53">
        <v>0</v>
      </c>
      <c r="K268" s="90">
        <v>0</v>
      </c>
      <c r="L268" s="52">
        <v>0</v>
      </c>
      <c r="M268" s="125">
        <v>0</v>
      </c>
      <c r="N268" s="25"/>
      <c r="O268" s="25"/>
      <c r="P268" s="5"/>
    </row>
    <row r="269" spans="1:16" ht="15.6" x14ac:dyDescent="0.3">
      <c r="A269" s="24"/>
      <c r="B269" s="53"/>
      <c r="C269" s="25"/>
      <c r="D269" s="91"/>
      <c r="E269" s="91"/>
      <c r="F269" s="91"/>
      <c r="G269" s="91"/>
      <c r="H269" s="91"/>
      <c r="I269" s="91"/>
      <c r="J269" s="53"/>
      <c r="K269" s="90"/>
      <c r="L269" s="52"/>
      <c r="M269" s="125"/>
      <c r="N269" s="25"/>
      <c r="O269" s="25"/>
      <c r="P269" s="5"/>
    </row>
    <row r="270" spans="1:16" ht="15.6" x14ac:dyDescent="0.3">
      <c r="A270" s="24"/>
      <c r="B270" s="25" t="s">
        <v>114</v>
      </c>
      <c r="C270" s="25"/>
      <c r="D270" s="91"/>
      <c r="E270" s="91"/>
      <c r="F270" s="91"/>
      <c r="G270" s="91"/>
      <c r="H270" s="91"/>
      <c r="I270" s="91"/>
      <c r="J270" s="34">
        <f>SUM(J256:J268)</f>
        <v>0</v>
      </c>
      <c r="K270" s="90">
        <f>SUM(K256:K268)</f>
        <v>0</v>
      </c>
      <c r="L270" s="52">
        <f>SUM(L256:L268)</f>
        <v>0</v>
      </c>
      <c r="M270" s="125">
        <f>SUM(M256:M268)</f>
        <v>0</v>
      </c>
      <c r="N270" s="25"/>
      <c r="O270" s="25"/>
      <c r="P270" s="5"/>
    </row>
    <row r="271" spans="1:16" ht="15.6" x14ac:dyDescent="0.3">
      <c r="A271" s="24"/>
      <c r="B271" s="25"/>
      <c r="C271" s="25"/>
      <c r="D271" s="91"/>
      <c r="E271" s="91"/>
      <c r="F271" s="91"/>
      <c r="G271" s="91"/>
      <c r="H271" s="91"/>
      <c r="I271" s="91"/>
      <c r="J271" s="34"/>
      <c r="K271" s="125"/>
      <c r="L271" s="52"/>
      <c r="M271" s="125"/>
      <c r="N271" s="25"/>
      <c r="O271" s="25"/>
      <c r="P271" s="5"/>
    </row>
    <row r="272" spans="1:16" ht="15.6" x14ac:dyDescent="0.3">
      <c r="A272" s="24"/>
      <c r="B272" s="134" t="s">
        <v>151</v>
      </c>
      <c r="C272" s="25"/>
      <c r="D272" s="91"/>
      <c r="E272" s="91"/>
      <c r="F272" s="91"/>
      <c r="G272" s="91"/>
      <c r="H272" s="91"/>
      <c r="I272" s="91"/>
      <c r="J272" s="149">
        <f>J270+J253+J236</f>
        <v>3788</v>
      </c>
      <c r="K272" s="135"/>
      <c r="L272" s="136">
        <f>+L270+L253+L236</f>
        <v>161625</v>
      </c>
      <c r="M272" s="135"/>
      <c r="N272" s="25"/>
      <c r="O272" s="25"/>
      <c r="P272" s="5"/>
    </row>
    <row r="273" spans="1:16" ht="15.6" x14ac:dyDescent="0.3">
      <c r="A273" s="24"/>
      <c r="B273" s="25"/>
      <c r="C273" s="25"/>
      <c r="D273" s="91"/>
      <c r="E273" s="91"/>
      <c r="F273" s="91"/>
      <c r="G273" s="91"/>
      <c r="H273" s="91"/>
      <c r="I273" s="91"/>
      <c r="J273" s="91"/>
      <c r="K273" s="91"/>
      <c r="L273" s="52"/>
      <c r="M273" s="91"/>
      <c r="N273" s="25"/>
      <c r="O273" s="25"/>
      <c r="P273" s="5"/>
    </row>
    <row r="274" spans="1:16" ht="15.6" x14ac:dyDescent="0.3">
      <c r="A274" s="6"/>
      <c r="B274" s="8"/>
      <c r="C274" s="8"/>
      <c r="D274" s="92"/>
      <c r="E274" s="92"/>
      <c r="F274" s="92"/>
      <c r="G274" s="92"/>
      <c r="H274" s="92"/>
      <c r="I274" s="92"/>
      <c r="J274" s="92"/>
      <c r="K274" s="92"/>
      <c r="L274" s="93"/>
      <c r="M274" s="92"/>
      <c r="N274" s="8"/>
      <c r="O274" s="8"/>
      <c r="P274" s="5"/>
    </row>
    <row r="275" spans="1:16" ht="15.6" x14ac:dyDescent="0.3">
      <c r="A275" s="179"/>
      <c r="B275" s="14" t="s">
        <v>88</v>
      </c>
      <c r="C275" s="15"/>
      <c r="D275" s="17" t="s">
        <v>94</v>
      </c>
      <c r="E275" s="15"/>
      <c r="F275" s="14" t="s">
        <v>96</v>
      </c>
      <c r="G275" s="174"/>
      <c r="H275" s="174"/>
      <c r="I275" s="174"/>
      <c r="J275" s="17"/>
      <c r="K275" s="15"/>
      <c r="L275" s="14"/>
      <c r="M275" s="174"/>
      <c r="N275" s="174"/>
      <c r="O275" s="174"/>
      <c r="P275" s="5"/>
    </row>
    <row r="276" spans="1:16" ht="15.6" x14ac:dyDescent="0.3">
      <c r="A276" s="179"/>
      <c r="B276" s="174"/>
      <c r="C276" s="8"/>
      <c r="D276" s="8"/>
      <c r="E276" s="8"/>
      <c r="F276" s="8"/>
      <c r="G276" s="174"/>
      <c r="H276" s="174"/>
      <c r="I276" s="174"/>
      <c r="J276" s="8"/>
      <c r="K276" s="8"/>
      <c r="L276" s="8"/>
      <c r="M276" s="174"/>
      <c r="N276" s="174"/>
      <c r="O276" s="174"/>
      <c r="P276" s="5"/>
    </row>
    <row r="277" spans="1:16" ht="15.6" x14ac:dyDescent="0.3">
      <c r="A277" s="179"/>
      <c r="B277" s="13" t="s">
        <v>89</v>
      </c>
      <c r="C277" s="13"/>
      <c r="D277" s="123" t="s">
        <v>138</v>
      </c>
      <c r="E277" s="13"/>
      <c r="F277" s="13" t="s">
        <v>141</v>
      </c>
      <c r="G277" s="174"/>
      <c r="H277" s="174"/>
      <c r="I277" s="174"/>
      <c r="J277" s="123"/>
      <c r="K277" s="13"/>
      <c r="L277" s="13"/>
      <c r="M277" s="174"/>
      <c r="N277" s="174"/>
      <c r="O277" s="174"/>
      <c r="P277" s="5"/>
    </row>
    <row r="278" spans="1:16" ht="15.6" x14ac:dyDescent="0.3">
      <c r="A278" s="13"/>
      <c r="B278" s="13" t="s">
        <v>239</v>
      </c>
      <c r="C278" s="13"/>
      <c r="D278" s="123" t="s">
        <v>240</v>
      </c>
      <c r="E278" s="123"/>
      <c r="F278" s="13" t="s">
        <v>241</v>
      </c>
      <c r="G278" s="13"/>
      <c r="H278" s="174"/>
      <c r="I278" s="174"/>
      <c r="J278" s="123"/>
      <c r="K278" s="13"/>
      <c r="L278" s="13"/>
      <c r="M278" s="174"/>
      <c r="N278" s="174"/>
      <c r="O278" s="174"/>
      <c r="P278" s="5"/>
    </row>
    <row r="279" spans="1:16" ht="15.6" x14ac:dyDescent="0.3">
      <c r="A279" s="179"/>
      <c r="B279" s="13" t="s">
        <v>90</v>
      </c>
      <c r="C279" s="13"/>
      <c r="D279" s="123" t="s">
        <v>137</v>
      </c>
      <c r="E279" s="13"/>
      <c r="F279" s="13" t="s">
        <v>142</v>
      </c>
      <c r="G279" s="174"/>
      <c r="H279" s="174"/>
      <c r="I279" s="174"/>
      <c r="J279" s="123"/>
      <c r="K279" s="13"/>
      <c r="L279" s="13"/>
      <c r="M279" s="174"/>
      <c r="N279" s="174"/>
      <c r="O279" s="174"/>
      <c r="P279" s="5"/>
    </row>
    <row r="280" spans="1:16" ht="15.6" x14ac:dyDescent="0.3">
      <c r="A280" s="179"/>
      <c r="B280" s="13"/>
      <c r="C280" s="13"/>
      <c r="D280" s="174"/>
      <c r="E280" s="174"/>
      <c r="F280" s="174"/>
      <c r="G280" s="174"/>
      <c r="H280" s="174"/>
      <c r="I280" s="174"/>
      <c r="J280" s="174"/>
      <c r="K280" s="174"/>
      <c r="L280" s="174"/>
      <c r="M280" s="174"/>
      <c r="N280" s="174"/>
      <c r="O280" s="174"/>
      <c r="P280" s="5"/>
    </row>
    <row r="281" spans="1:16" ht="15.6" x14ac:dyDescent="0.3">
      <c r="A281" s="179"/>
      <c r="B281" s="13"/>
      <c r="C281" s="13"/>
      <c r="D281" s="174"/>
      <c r="E281" s="174"/>
      <c r="F281" s="174"/>
      <c r="G281" s="174"/>
      <c r="H281" s="174"/>
      <c r="I281" s="174"/>
      <c r="J281" s="174"/>
      <c r="K281" s="174"/>
      <c r="L281" s="174"/>
      <c r="M281" s="174"/>
      <c r="N281" s="174"/>
      <c r="O281" s="174"/>
      <c r="P281" s="5"/>
    </row>
    <row r="282" spans="1:16" ht="18" thickBot="1" x14ac:dyDescent="0.35">
      <c r="A282" s="179"/>
      <c r="B282" s="48" t="str">
        <f>B183</f>
        <v>FF7 INVESTOR REPORT QUARTER ENDING AUG 2008</v>
      </c>
      <c r="C282" s="13"/>
      <c r="D282" s="174"/>
      <c r="E282" s="174"/>
      <c r="F282" s="174"/>
      <c r="G282" s="174"/>
      <c r="H282" s="174"/>
      <c r="I282" s="174"/>
      <c r="J282" s="174"/>
      <c r="K282" s="174"/>
      <c r="L282" s="174"/>
      <c r="M282" s="174"/>
      <c r="N282" s="174"/>
      <c r="O282" s="174"/>
      <c r="P282" s="5"/>
    </row>
    <row r="283" spans="1:16" x14ac:dyDescent="0.25">
      <c r="A283" s="95"/>
      <c r="B283" s="95"/>
      <c r="C283" s="95"/>
      <c r="D283" s="95"/>
      <c r="E283" s="95"/>
      <c r="F283" s="95"/>
      <c r="G283" s="95"/>
      <c r="H283" s="95"/>
      <c r="I283" s="95"/>
      <c r="J283" s="95"/>
      <c r="K283" s="95"/>
      <c r="L283" s="95"/>
      <c r="M283" s="95"/>
      <c r="N283" s="95"/>
      <c r="O283"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3" manualBreakCount="3">
    <brk id="52" max="14" man="1"/>
    <brk id="116" max="14" man="1"/>
    <brk id="183"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IV283"/>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4.8099999999999997E-2</v>
      </c>
      <c r="L16" s="17" t="s">
        <v>133</v>
      </c>
      <c r="M16" s="129">
        <v>0.95189999999999997</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39805</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74"/>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74"/>
      <c r="N22" s="174"/>
      <c r="O22" s="8"/>
      <c r="P22" s="5"/>
    </row>
    <row r="23" spans="1:16" ht="15.6" x14ac:dyDescent="0.3">
      <c r="A23" s="24"/>
      <c r="B23" s="25" t="s">
        <v>7</v>
      </c>
      <c r="C23" s="26"/>
      <c r="D23" s="26" t="s">
        <v>134</v>
      </c>
      <c r="E23" s="26"/>
      <c r="F23" s="26" t="s">
        <v>152</v>
      </c>
      <c r="G23" s="26"/>
      <c r="H23" s="26" t="s">
        <v>135</v>
      </c>
      <c r="I23" s="26"/>
      <c r="J23" s="26"/>
      <c r="K23" s="26"/>
      <c r="L23" s="26"/>
      <c r="M23" s="175"/>
      <c r="N23" s="175"/>
      <c r="O23" s="25"/>
      <c r="P23" s="5"/>
    </row>
    <row r="24" spans="1:16" ht="15.6" x14ac:dyDescent="0.3">
      <c r="A24" s="28"/>
      <c r="B24" s="124" t="s">
        <v>162</v>
      </c>
      <c r="C24" s="118"/>
      <c r="D24" s="26" t="s">
        <v>134</v>
      </c>
      <c r="E24" s="26"/>
      <c r="F24" s="26" t="s">
        <v>152</v>
      </c>
      <c r="G24" s="26"/>
      <c r="H24" s="26" t="s">
        <v>135</v>
      </c>
      <c r="I24" s="26"/>
      <c r="J24" s="26"/>
      <c r="K24" s="118"/>
      <c r="L24" s="26"/>
      <c r="M24" s="175"/>
      <c r="N24" s="175"/>
      <c r="O24" s="25"/>
      <c r="P24" s="5"/>
    </row>
    <row r="25" spans="1:16" ht="15.6" x14ac:dyDescent="0.3">
      <c r="A25" s="24"/>
      <c r="B25" s="29" t="s">
        <v>163</v>
      </c>
      <c r="C25" s="26"/>
      <c r="D25" s="118" t="s">
        <v>134</v>
      </c>
      <c r="E25" s="118"/>
      <c r="F25" s="118" t="s">
        <v>152</v>
      </c>
      <c r="G25" s="118"/>
      <c r="H25" s="118" t="s">
        <v>135</v>
      </c>
      <c r="I25" s="118"/>
      <c r="J25" s="118"/>
      <c r="K25" s="26"/>
      <c r="L25" s="30"/>
      <c r="M25" s="175"/>
      <c r="N25" s="175"/>
      <c r="O25" s="25"/>
      <c r="P25" s="5"/>
    </row>
    <row r="26" spans="1:16" ht="15.6" x14ac:dyDescent="0.3">
      <c r="A26" s="24"/>
      <c r="B26" s="143" t="s">
        <v>164</v>
      </c>
      <c r="C26" s="26"/>
      <c r="D26" s="118" t="s">
        <v>134</v>
      </c>
      <c r="E26" s="118"/>
      <c r="F26" s="118" t="s">
        <v>152</v>
      </c>
      <c r="G26" s="118"/>
      <c r="H26" s="118" t="s">
        <v>135</v>
      </c>
      <c r="I26" s="118"/>
      <c r="J26" s="118"/>
      <c r="K26" s="26"/>
      <c r="L26" s="30"/>
      <c r="M26" s="175"/>
      <c r="N26" s="175"/>
      <c r="O26" s="25"/>
      <c r="P26" s="5"/>
    </row>
    <row r="27" spans="1:16" ht="15.6" x14ac:dyDescent="0.3">
      <c r="A27" s="24"/>
      <c r="B27" s="25" t="s">
        <v>8</v>
      </c>
      <c r="C27" s="32"/>
      <c r="D27" s="26" t="s">
        <v>218</v>
      </c>
      <c r="E27" s="26"/>
      <c r="F27" s="26" t="s">
        <v>219</v>
      </c>
      <c r="G27" s="26"/>
      <c r="H27" s="26" t="s">
        <v>220</v>
      </c>
      <c r="I27" s="26"/>
      <c r="J27" s="26"/>
      <c r="K27" s="31"/>
      <c r="L27" s="31"/>
      <c r="M27" s="176"/>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153525.20610000001</v>
      </c>
      <c r="E29" s="31"/>
      <c r="F29" s="31">
        <f>F28*F32</f>
        <v>4050</v>
      </c>
      <c r="G29" s="31"/>
      <c r="H29" s="31">
        <f>H28*H32</f>
        <v>4050</v>
      </c>
      <c r="I29" s="31"/>
      <c r="J29" s="119"/>
      <c r="K29" s="31"/>
      <c r="L29" s="31"/>
      <c r="M29" s="176"/>
      <c r="N29" s="31">
        <f>SUM(D29:H29)</f>
        <v>161625.20610000001</v>
      </c>
      <c r="O29" s="34"/>
      <c r="P29" s="5"/>
    </row>
    <row r="30" spans="1:16" ht="15.6" x14ac:dyDescent="0.3">
      <c r="A30" s="24"/>
      <c r="B30" s="29" t="s">
        <v>130</v>
      </c>
      <c r="C30" s="32"/>
      <c r="D30" s="35">
        <f>D28*D31</f>
        <v>145060.57120000001</v>
      </c>
      <c r="E30" s="35"/>
      <c r="F30" s="35">
        <f>F28*F31</f>
        <v>4050</v>
      </c>
      <c r="G30" s="35"/>
      <c r="H30" s="35">
        <f>H28*H31</f>
        <v>4050</v>
      </c>
      <c r="I30" s="35"/>
      <c r="J30" s="120"/>
      <c r="K30" s="31"/>
      <c r="L30" s="31"/>
      <c r="M30" s="176"/>
      <c r="N30" s="145">
        <f>SUM(D30:I30)</f>
        <v>153160.57120000001</v>
      </c>
      <c r="O30" s="34"/>
      <c r="P30" s="5"/>
    </row>
    <row r="31" spans="1:16" ht="15.6" x14ac:dyDescent="0.3">
      <c r="A31" s="24"/>
      <c r="B31" s="117" t="s">
        <v>126</v>
      </c>
      <c r="C31" s="25"/>
      <c r="D31" s="171">
        <v>0.55685439999999997</v>
      </c>
      <c r="E31" s="171"/>
      <c r="F31" s="171">
        <v>1</v>
      </c>
      <c r="G31" s="171"/>
      <c r="H31" s="171">
        <v>1</v>
      </c>
      <c r="I31" s="128"/>
      <c r="J31" s="128"/>
      <c r="K31" s="30"/>
      <c r="L31" s="30"/>
      <c r="M31" s="175"/>
      <c r="N31" s="175"/>
      <c r="O31" s="25"/>
      <c r="P31" s="5"/>
    </row>
    <row r="32" spans="1:16" ht="15.6" x14ac:dyDescent="0.3">
      <c r="A32" s="24"/>
      <c r="B32" s="117" t="s">
        <v>127</v>
      </c>
      <c r="C32" s="25"/>
      <c r="D32" s="171">
        <v>0.58934819999999999</v>
      </c>
      <c r="E32" s="171"/>
      <c r="F32" s="171">
        <v>1</v>
      </c>
      <c r="G32" s="171"/>
      <c r="H32" s="171">
        <v>1</v>
      </c>
      <c r="I32" s="128"/>
      <c r="J32" s="128"/>
      <c r="K32" s="39"/>
      <c r="L32" s="38"/>
      <c r="M32" s="175"/>
      <c r="N32" s="39"/>
      <c r="O32" s="25"/>
      <c r="P32" s="5"/>
    </row>
    <row r="33" spans="1:17" ht="15.6" x14ac:dyDescent="0.3">
      <c r="A33" s="24"/>
      <c r="B33" s="25" t="s">
        <v>9</v>
      </c>
      <c r="C33" s="25"/>
      <c r="D33" s="30" t="s">
        <v>192</v>
      </c>
      <c r="E33" s="30"/>
      <c r="F33" s="30" t="s">
        <v>194</v>
      </c>
      <c r="G33" s="30"/>
      <c r="H33" s="30" t="s">
        <v>196</v>
      </c>
      <c r="I33" s="30"/>
      <c r="J33" s="30"/>
      <c r="K33" s="39"/>
      <c r="L33" s="38"/>
      <c r="M33" s="175"/>
      <c r="N33" s="175"/>
      <c r="O33" s="25"/>
      <c r="P33" s="5"/>
    </row>
    <row r="34" spans="1:17" ht="15.6" x14ac:dyDescent="0.3">
      <c r="A34" s="24"/>
      <c r="B34" s="25" t="s">
        <v>10</v>
      </c>
      <c r="C34" s="25"/>
      <c r="D34" s="38">
        <v>5.8349999999999999E-2</v>
      </c>
      <c r="E34" s="39"/>
      <c r="F34" s="38">
        <v>5.8950000000000002E-2</v>
      </c>
      <c r="G34" s="39"/>
      <c r="H34" s="38">
        <v>5.9950000000000003E-2</v>
      </c>
      <c r="I34" s="39"/>
      <c r="J34" s="38"/>
      <c r="K34" s="39"/>
      <c r="L34" s="38"/>
      <c r="M34" s="175"/>
      <c r="N34" s="39">
        <f>SUMPRODUCT(D34:H34,D29:H29)/N29</f>
        <v>5.840512753991161E-2</v>
      </c>
      <c r="O34" s="25"/>
      <c r="P34" s="5"/>
    </row>
    <row r="35" spans="1:17" ht="15.6" x14ac:dyDescent="0.3">
      <c r="A35" s="24"/>
      <c r="B35" s="25" t="s">
        <v>11</v>
      </c>
      <c r="C35" s="25"/>
      <c r="D35" s="38">
        <v>6.0749999999999998E-2</v>
      </c>
      <c r="E35" s="39"/>
      <c r="F35" s="38">
        <v>6.1350000000000002E-2</v>
      </c>
      <c r="G35" s="39"/>
      <c r="H35" s="38">
        <v>6.2350000000000003E-2</v>
      </c>
      <c r="I35" s="38"/>
      <c r="J35" s="38"/>
      <c r="K35" s="39"/>
      <c r="L35" s="38"/>
      <c r="M35" s="175"/>
      <c r="N35" s="39" t="s">
        <v>165</v>
      </c>
      <c r="O35" s="25"/>
      <c r="P35" s="5"/>
    </row>
    <row r="36" spans="1:17" ht="15.6" x14ac:dyDescent="0.3">
      <c r="A36" s="24"/>
      <c r="B36" s="25" t="s">
        <v>12</v>
      </c>
      <c r="C36" s="25"/>
      <c r="D36" s="105">
        <v>40617</v>
      </c>
      <c r="E36" s="105"/>
      <c r="F36" s="105">
        <v>40617</v>
      </c>
      <c r="G36" s="105"/>
      <c r="H36" s="105">
        <v>40617</v>
      </c>
      <c r="I36" s="105"/>
      <c r="J36" s="105"/>
      <c r="K36" s="30"/>
      <c r="L36" s="30"/>
      <c r="M36" s="175"/>
      <c r="N36" s="175"/>
      <c r="O36" s="25"/>
      <c r="P36" s="5"/>
    </row>
    <row r="37" spans="1:17" ht="15.6" x14ac:dyDescent="0.3">
      <c r="A37" s="24"/>
      <c r="B37" s="25" t="s">
        <v>13</v>
      </c>
      <c r="C37" s="25"/>
      <c r="D37" s="105">
        <v>40983</v>
      </c>
      <c r="E37" s="30"/>
      <c r="F37" s="105">
        <v>40983</v>
      </c>
      <c r="G37" s="30"/>
      <c r="H37" s="105">
        <v>40983</v>
      </c>
      <c r="I37" s="30"/>
      <c r="J37" s="105"/>
      <c r="K37" s="30"/>
      <c r="L37" s="30"/>
      <c r="M37" s="175"/>
      <c r="N37" s="175"/>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0"/>
      <c r="G39" s="30"/>
      <c r="H39" s="30"/>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5.5838743312490141E-2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39797</v>
      </c>
      <c r="O45" s="25"/>
      <c r="P45" s="5"/>
    </row>
    <row r="46" spans="1:17" ht="15.6" x14ac:dyDescent="0.3">
      <c r="A46" s="24"/>
      <c r="B46" s="25" t="s">
        <v>119</v>
      </c>
      <c r="C46" s="25"/>
      <c r="D46" s="56"/>
      <c r="E46" s="56"/>
      <c r="F46" s="56"/>
      <c r="G46" s="56"/>
      <c r="H46" s="56"/>
      <c r="I46" s="56"/>
      <c r="J46" s="25">
        <f>+N46-L46+1</f>
        <v>91</v>
      </c>
      <c r="K46" s="56"/>
      <c r="L46" s="44">
        <v>39615</v>
      </c>
      <c r="M46" s="45"/>
      <c r="N46" s="44">
        <v>39705</v>
      </c>
      <c r="O46" s="25"/>
      <c r="P46" s="5"/>
    </row>
    <row r="47" spans="1:17" ht="15.6" x14ac:dyDescent="0.3">
      <c r="A47" s="24"/>
      <c r="B47" s="25" t="s">
        <v>120</v>
      </c>
      <c r="C47" s="25"/>
      <c r="D47" s="25"/>
      <c r="E47" s="25"/>
      <c r="F47" s="25"/>
      <c r="G47" s="25"/>
      <c r="H47" s="25"/>
      <c r="I47" s="25"/>
      <c r="J47" s="25">
        <f>+N47-L47+1</f>
        <v>91</v>
      </c>
      <c r="K47" s="25"/>
      <c r="L47" s="44">
        <v>39706</v>
      </c>
      <c r="M47" s="45"/>
      <c r="N47" s="44">
        <v>39796</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39783</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248</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161625</v>
      </c>
      <c r="G57" s="34"/>
      <c r="H57" s="34">
        <f>8464+2009+603</f>
        <v>11076</v>
      </c>
      <c r="I57" s="34"/>
      <c r="J57" s="34">
        <f>2009+603</f>
        <v>2612</v>
      </c>
      <c r="K57" s="34"/>
      <c r="L57" s="34">
        <v>0</v>
      </c>
      <c r="M57" s="34"/>
      <c r="N57" s="52">
        <f>+F57-H57+J57-L57</f>
        <v>153161</v>
      </c>
      <c r="O57" s="25"/>
      <c r="P57" s="5"/>
    </row>
    <row r="58" spans="1:16" ht="15.6" x14ac:dyDescent="0.3">
      <c r="A58" s="24"/>
      <c r="B58" s="25" t="s">
        <v>209</v>
      </c>
      <c r="C58" s="34"/>
      <c r="D58" s="34">
        <v>756</v>
      </c>
      <c r="E58" s="34"/>
      <c r="F58" s="52">
        <v>535</v>
      </c>
      <c r="G58" s="34"/>
      <c r="H58" s="34">
        <v>5</v>
      </c>
      <c r="I58" s="34"/>
      <c r="J58" s="34">
        <v>0</v>
      </c>
      <c r="K58" s="34"/>
      <c r="L58" s="34">
        <v>0</v>
      </c>
      <c r="M58" s="34"/>
      <c r="N58" s="52">
        <f>+F58-H58</f>
        <v>530</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162160</v>
      </c>
      <c r="G60" s="34"/>
      <c r="H60" s="34">
        <f>SUM(H57:H59)</f>
        <v>11081</v>
      </c>
      <c r="I60" s="34"/>
      <c r="J60" s="34">
        <f>SUM(J57:J59)</f>
        <v>2612</v>
      </c>
      <c r="K60" s="34"/>
      <c r="L60" s="34">
        <f>SUM(L57:L59)</f>
        <v>0</v>
      </c>
      <c r="M60" s="34"/>
      <c r="N60" s="53">
        <f>SUM(N57:N59)</f>
        <v>153691</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-535</v>
      </c>
      <c r="G69" s="34"/>
      <c r="H69" s="34"/>
      <c r="I69" s="34"/>
      <c r="J69" s="34"/>
      <c r="K69" s="34"/>
      <c r="L69" s="34"/>
      <c r="M69" s="34"/>
      <c r="N69" s="52">
        <f>-N58</f>
        <v>-530</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0</v>
      </c>
      <c r="G71" s="34"/>
      <c r="H71" s="34">
        <v>0</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161625</v>
      </c>
      <c r="G73" s="34"/>
      <c r="H73" s="34"/>
      <c r="I73" s="34"/>
      <c r="J73" s="34"/>
      <c r="K73" s="34"/>
      <c r="L73" s="53"/>
      <c r="M73" s="34"/>
      <c r="N73" s="53">
        <f>SUM(N60:N72)</f>
        <v>153161</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+L184</f>
        <v>39780</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0</v>
      </c>
      <c r="M77" s="25"/>
      <c r="N77" s="52">
        <v>0</v>
      </c>
      <c r="O77" s="25"/>
      <c r="P77" s="5"/>
    </row>
    <row r="78" spans="1:16" ht="15.6" x14ac:dyDescent="0.3">
      <c r="A78" s="24"/>
      <c r="B78" s="25" t="s">
        <v>27</v>
      </c>
      <c r="C78" s="25"/>
      <c r="D78" s="40"/>
      <c r="E78" s="25"/>
      <c r="F78" s="121"/>
      <c r="G78" s="25"/>
      <c r="H78" s="25"/>
      <c r="I78" s="25"/>
      <c r="J78" s="25"/>
      <c r="K78" s="25"/>
      <c r="L78" s="34">
        <f>11076-14</f>
        <v>11062</v>
      </c>
      <c r="M78" s="25"/>
      <c r="N78" s="52"/>
      <c r="O78" s="25"/>
      <c r="P78" s="5"/>
    </row>
    <row r="79" spans="1:16" ht="15.6" x14ac:dyDescent="0.3">
      <c r="A79" s="24"/>
      <c r="B79" s="25" t="s">
        <v>176</v>
      </c>
      <c r="C79" s="25"/>
      <c r="D79" s="40"/>
      <c r="E79" s="25"/>
      <c r="F79" s="121"/>
      <c r="G79" s="25"/>
      <c r="H79" s="25"/>
      <c r="I79" s="25"/>
      <c r="J79" s="25"/>
      <c r="K79" s="25"/>
      <c r="L79" s="34"/>
      <c r="M79" s="25"/>
      <c r="N79" s="52">
        <f>4649+222+2185-4797-72-1094</f>
        <v>1093</v>
      </c>
      <c r="O79" s="25"/>
      <c r="P79" s="5"/>
    </row>
    <row r="80" spans="1:16" ht="15.6" x14ac:dyDescent="0.3">
      <c r="A80" s="24"/>
      <c r="B80" s="25" t="s">
        <v>174</v>
      </c>
      <c r="C80" s="25"/>
      <c r="D80" s="40"/>
      <c r="E80" s="25"/>
      <c r="F80" s="121"/>
      <c r="G80" s="25"/>
      <c r="H80" s="25"/>
      <c r="I80" s="25"/>
      <c r="J80" s="25"/>
      <c r="K80" s="25"/>
      <c r="L80" s="34"/>
      <c r="M80" s="25"/>
      <c r="N80" s="52">
        <f>64+3+23</f>
        <v>90</v>
      </c>
      <c r="O80" s="25"/>
      <c r="P80" s="5"/>
    </row>
    <row r="81" spans="1:17" ht="15.6" x14ac:dyDescent="0.3">
      <c r="A81" s="24"/>
      <c r="B81" s="25" t="s">
        <v>175</v>
      </c>
      <c r="C81" s="25"/>
      <c r="D81" s="40"/>
      <c r="E81" s="25"/>
      <c r="F81" s="121"/>
      <c r="G81" s="25"/>
      <c r="H81" s="25"/>
      <c r="I81" s="25"/>
      <c r="J81" s="25"/>
      <c r="K81" s="25"/>
      <c r="L81" s="34"/>
      <c r="M81" s="25"/>
      <c r="N81" s="52">
        <v>111</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0</v>
      </c>
      <c r="O83" s="25"/>
      <c r="P83" s="5"/>
    </row>
    <row r="84" spans="1:17" ht="15.6" x14ac:dyDescent="0.3">
      <c r="A84" s="24"/>
      <c r="B84" s="25" t="s">
        <v>28</v>
      </c>
      <c r="C84" s="25"/>
      <c r="D84" s="25"/>
      <c r="E84" s="25"/>
      <c r="F84" s="25"/>
      <c r="G84" s="25"/>
      <c r="H84" s="25"/>
      <c r="I84" s="25"/>
      <c r="J84" s="25"/>
      <c r="K84" s="25"/>
      <c r="L84" s="34">
        <f>SUM(L77:L83)</f>
        <v>11062</v>
      </c>
      <c r="M84" s="25"/>
      <c r="N84" s="53">
        <f>SUM(N77:N83)</f>
        <v>1294</v>
      </c>
      <c r="O84" s="25"/>
      <c r="P84" s="5"/>
    </row>
    <row r="85" spans="1:17" ht="15.6" x14ac:dyDescent="0.3">
      <c r="A85" s="24"/>
      <c r="B85" s="25" t="s">
        <v>148</v>
      </c>
      <c r="C85" s="25"/>
      <c r="D85" s="25"/>
      <c r="E85" s="25"/>
      <c r="F85" s="25"/>
      <c r="G85" s="25"/>
      <c r="H85" s="25"/>
      <c r="I85" s="25"/>
      <c r="J85" s="25"/>
      <c r="K85" s="25"/>
      <c r="L85" s="34">
        <v>-2009</v>
      </c>
      <c r="M85" s="25"/>
      <c r="N85" s="53">
        <f>-L85</f>
        <v>2009</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244</v>
      </c>
      <c r="C87" s="25"/>
      <c r="D87" s="25"/>
      <c r="E87" s="25"/>
      <c r="F87" s="25"/>
      <c r="G87" s="25"/>
      <c r="H87" s="25"/>
      <c r="I87" s="25"/>
      <c r="J87" s="25"/>
      <c r="K87" s="25"/>
      <c r="L87" s="34"/>
      <c r="M87" s="25"/>
      <c r="N87" s="52">
        <v>0</v>
      </c>
      <c r="O87" s="25"/>
      <c r="P87" s="5"/>
    </row>
    <row r="88" spans="1:17" ht="15.6" x14ac:dyDescent="0.3">
      <c r="A88" s="24"/>
      <c r="B88" s="25" t="s">
        <v>30</v>
      </c>
      <c r="C88" s="25"/>
      <c r="D88" s="25"/>
      <c r="E88" s="25"/>
      <c r="F88" s="25"/>
      <c r="G88" s="25"/>
      <c r="H88" s="25"/>
      <c r="I88" s="25"/>
      <c r="J88" s="25"/>
      <c r="K88" s="25"/>
      <c r="L88" s="34">
        <f>L84+L86+L85</f>
        <v>9053</v>
      </c>
      <c r="M88" s="25"/>
      <c r="N88" s="53">
        <f>N84+N86+N85+N87</f>
        <v>3303</v>
      </c>
      <c r="O88" s="25"/>
      <c r="P88" s="5"/>
    </row>
    <row r="89" spans="1:17" ht="15.6" x14ac:dyDescent="0.3">
      <c r="A89" s="24"/>
      <c r="B89" s="113" t="s">
        <v>31</v>
      </c>
      <c r="C89" s="25"/>
      <c r="D89" s="25"/>
      <c r="E89" s="25"/>
      <c r="F89" s="25"/>
      <c r="G89" s="25"/>
      <c r="H89" s="25"/>
      <c r="I89" s="25"/>
      <c r="J89" s="25"/>
      <c r="K89" s="25"/>
      <c r="L89" s="34"/>
      <c r="M89" s="25"/>
      <c r="N89" s="52"/>
      <c r="O89" s="25"/>
      <c r="P89" s="5"/>
    </row>
    <row r="90" spans="1:17" ht="15.6" x14ac:dyDescent="0.3">
      <c r="A90" s="24">
        <v>1</v>
      </c>
      <c r="B90" s="25" t="s">
        <v>32</v>
      </c>
      <c r="C90" s="25"/>
      <c r="D90" s="25"/>
      <c r="E90" s="25"/>
      <c r="F90" s="25"/>
      <c r="G90" s="25"/>
      <c r="H90" s="25"/>
      <c r="I90" s="25"/>
      <c r="J90" s="25"/>
      <c r="K90" s="25"/>
      <c r="L90" s="25"/>
      <c r="M90" s="25"/>
      <c r="N90" s="52">
        <v>0</v>
      </c>
      <c r="O90" s="25"/>
      <c r="P90" s="5"/>
    </row>
    <row r="91" spans="1:17" ht="15.6" x14ac:dyDescent="0.3">
      <c r="A91" s="24">
        <f>+A90+1</f>
        <v>2</v>
      </c>
      <c r="B91" s="25" t="s">
        <v>224</v>
      </c>
      <c r="C91" s="25"/>
      <c r="D91" s="25"/>
      <c r="E91" s="25"/>
      <c r="F91" s="25"/>
      <c r="G91" s="25"/>
      <c r="H91" s="25"/>
      <c r="I91" s="25"/>
      <c r="J91" s="25"/>
      <c r="K91" s="25"/>
      <c r="L91" s="25"/>
      <c r="M91" s="25"/>
      <c r="N91" s="52">
        <v>-2</v>
      </c>
      <c r="O91" s="25"/>
      <c r="P91" s="5"/>
    </row>
    <row r="92" spans="1:17" ht="15.6" x14ac:dyDescent="0.3">
      <c r="A92" s="24">
        <f>+A91+1</f>
        <v>3</v>
      </c>
      <c r="B92" s="25" t="s">
        <v>235</v>
      </c>
      <c r="C92" s="25"/>
      <c r="D92" s="25"/>
      <c r="E92" s="25"/>
      <c r="F92" s="25"/>
      <c r="G92" s="25"/>
      <c r="H92" s="25"/>
      <c r="I92" s="25"/>
      <c r="J92" s="25"/>
      <c r="K92" s="25"/>
      <c r="L92" s="25"/>
      <c r="M92" s="25"/>
      <c r="N92" s="52">
        <f>-61-6-2-5</f>
        <v>-74</v>
      </c>
      <c r="O92" s="25"/>
      <c r="P92" s="5"/>
    </row>
    <row r="93" spans="1:17" ht="15.6" x14ac:dyDescent="0.3">
      <c r="A93" s="24" t="s">
        <v>123</v>
      </c>
      <c r="B93" s="25" t="s">
        <v>116</v>
      </c>
      <c r="C93" s="25"/>
      <c r="D93" s="25"/>
      <c r="E93" s="25"/>
      <c r="F93" s="25"/>
      <c r="G93" s="25"/>
      <c r="H93" s="25"/>
      <c r="I93" s="25"/>
      <c r="J93" s="25"/>
      <c r="K93" s="25"/>
      <c r="L93" s="25"/>
      <c r="M93" s="25"/>
      <c r="N93" s="52">
        <v>0</v>
      </c>
      <c r="O93" s="25"/>
      <c r="P93" s="5"/>
    </row>
    <row r="94" spans="1:17" ht="15.6" x14ac:dyDescent="0.3">
      <c r="A94" s="24" t="s">
        <v>124</v>
      </c>
      <c r="B94" s="25" t="s">
        <v>214</v>
      </c>
      <c r="C94" s="25"/>
      <c r="D94" s="25"/>
      <c r="E94" s="25"/>
      <c r="F94" s="25"/>
      <c r="G94" s="25"/>
      <c r="H94" s="25"/>
      <c r="I94" s="25"/>
      <c r="J94" s="25"/>
      <c r="K94" s="25"/>
      <c r="L94" s="25"/>
      <c r="M94" s="25"/>
      <c r="N94" s="52">
        <f>-2233</f>
        <v>-2233</v>
      </c>
      <c r="O94" s="25"/>
      <c r="P94" s="5"/>
    </row>
    <row r="95" spans="1:17" ht="15.6" x14ac:dyDescent="0.3">
      <c r="A95" s="24" t="s">
        <v>140</v>
      </c>
      <c r="B95" s="25" t="s">
        <v>180</v>
      </c>
      <c r="C95" s="25"/>
      <c r="D95" s="25"/>
      <c r="E95" s="25"/>
      <c r="F95" s="25"/>
      <c r="G95" s="25"/>
      <c r="H95" s="25"/>
      <c r="I95" s="25"/>
      <c r="J95" s="25"/>
      <c r="K95" s="25"/>
      <c r="L95" s="25"/>
      <c r="M95" s="25"/>
      <c r="N95" s="52">
        <v>-1</v>
      </c>
      <c r="O95" s="25"/>
      <c r="P95" s="5"/>
    </row>
    <row r="96" spans="1:17" ht="15.6" x14ac:dyDescent="0.3">
      <c r="A96" s="24" t="s">
        <v>169</v>
      </c>
      <c r="B96" s="25" t="s">
        <v>215</v>
      </c>
      <c r="C96" s="25"/>
      <c r="D96" s="25"/>
      <c r="E96" s="25"/>
      <c r="F96" s="25"/>
      <c r="G96" s="25"/>
      <c r="H96" s="25"/>
      <c r="I96" s="25"/>
      <c r="J96" s="25"/>
      <c r="K96" s="25"/>
      <c r="L96" s="25"/>
      <c r="M96" s="25"/>
      <c r="N96" s="52">
        <v>-59</v>
      </c>
      <c r="O96" s="25"/>
      <c r="P96" s="5"/>
      <c r="Q96" s="104"/>
    </row>
    <row r="97" spans="1:17" ht="15.6" x14ac:dyDescent="0.3">
      <c r="A97" s="24" t="s">
        <v>170</v>
      </c>
      <c r="B97" s="25" t="s">
        <v>216</v>
      </c>
      <c r="C97" s="25"/>
      <c r="D97" s="25"/>
      <c r="E97" s="25"/>
      <c r="F97" s="25"/>
      <c r="G97" s="25"/>
      <c r="H97" s="25"/>
      <c r="I97" s="25"/>
      <c r="J97" s="25"/>
      <c r="K97" s="25"/>
      <c r="L97" s="25"/>
      <c r="M97" s="25"/>
      <c r="N97" s="52">
        <v>-61</v>
      </c>
      <c r="O97" s="25"/>
      <c r="P97" s="5"/>
      <c r="Q97" s="104"/>
    </row>
    <row r="98" spans="1:17" ht="15.6" x14ac:dyDescent="0.3">
      <c r="A98" s="24">
        <v>7</v>
      </c>
      <c r="B98" s="25" t="s">
        <v>33</v>
      </c>
      <c r="C98" s="25"/>
      <c r="D98" s="25"/>
      <c r="E98" s="25"/>
      <c r="F98" s="25"/>
      <c r="G98" s="25"/>
      <c r="H98" s="25"/>
      <c r="I98" s="25"/>
      <c r="J98" s="25"/>
      <c r="K98" s="25"/>
      <c r="L98" s="25"/>
      <c r="M98" s="25"/>
      <c r="N98" s="52">
        <v>-9</v>
      </c>
      <c r="O98" s="25"/>
      <c r="P98" s="5"/>
    </row>
    <row r="99" spans="1:17" ht="15.6" x14ac:dyDescent="0.3">
      <c r="A99" s="24">
        <f t="shared" ref="A99:A105" si="0">+A98+1</f>
        <v>8</v>
      </c>
      <c r="B99" s="25" t="s">
        <v>42</v>
      </c>
      <c r="C99" s="25"/>
      <c r="D99" s="25"/>
      <c r="E99" s="25"/>
      <c r="F99" s="25"/>
      <c r="G99" s="25"/>
      <c r="H99" s="25"/>
      <c r="I99" s="25"/>
      <c r="J99" s="25"/>
      <c r="K99" s="25"/>
      <c r="L99" s="34">
        <f>-N99</f>
        <v>14</v>
      </c>
      <c r="M99" s="25"/>
      <c r="N99" s="52">
        <v>-14</v>
      </c>
      <c r="O99" s="25"/>
      <c r="P99" s="5"/>
    </row>
    <row r="100" spans="1:17" ht="15.6" x14ac:dyDescent="0.3">
      <c r="A100" s="24">
        <f t="shared" si="0"/>
        <v>9</v>
      </c>
      <c r="B100" s="25" t="s">
        <v>121</v>
      </c>
      <c r="C100" s="25"/>
      <c r="D100" s="25"/>
      <c r="E100" s="25"/>
      <c r="F100" s="25"/>
      <c r="G100" s="25"/>
      <c r="H100" s="25"/>
      <c r="I100" s="25"/>
      <c r="J100" s="25"/>
      <c r="K100" s="25"/>
      <c r="L100" s="25"/>
      <c r="M100" s="25"/>
      <c r="N100" s="52">
        <v>0</v>
      </c>
      <c r="O100" s="25"/>
      <c r="P100" s="5"/>
    </row>
    <row r="101" spans="1:17" ht="15.6" x14ac:dyDescent="0.3">
      <c r="A101" s="24">
        <f t="shared" si="0"/>
        <v>10</v>
      </c>
      <c r="B101" s="25" t="s">
        <v>182</v>
      </c>
      <c r="C101" s="25"/>
      <c r="D101" s="25"/>
      <c r="E101" s="25"/>
      <c r="F101" s="25"/>
      <c r="G101" s="25"/>
      <c r="H101" s="25"/>
      <c r="I101" s="25"/>
      <c r="J101" s="25"/>
      <c r="K101" s="25"/>
      <c r="L101" s="25"/>
      <c r="M101" s="25"/>
      <c r="N101" s="52">
        <v>0</v>
      </c>
      <c r="O101" s="25"/>
      <c r="P101" s="5"/>
    </row>
    <row r="102" spans="1:17" ht="15.6" x14ac:dyDescent="0.3">
      <c r="A102" s="24">
        <f t="shared" si="0"/>
        <v>11</v>
      </c>
      <c r="B102" s="25" t="s">
        <v>34</v>
      </c>
      <c r="C102" s="25"/>
      <c r="D102" s="25"/>
      <c r="E102" s="25"/>
      <c r="F102" s="25"/>
      <c r="G102" s="25"/>
      <c r="H102" s="25"/>
      <c r="I102" s="25"/>
      <c r="J102" s="25"/>
      <c r="K102" s="25"/>
      <c r="L102" s="25"/>
      <c r="M102" s="25"/>
      <c r="N102" s="52">
        <v>0</v>
      </c>
      <c r="O102" s="25"/>
      <c r="P102" s="5"/>
    </row>
    <row r="103" spans="1:17" ht="15.6" x14ac:dyDescent="0.3">
      <c r="A103" s="24">
        <f t="shared" si="0"/>
        <v>12</v>
      </c>
      <c r="B103" s="25" t="s">
        <v>181</v>
      </c>
      <c r="C103" s="25"/>
      <c r="D103" s="25"/>
      <c r="E103" s="25"/>
      <c r="F103" s="25"/>
      <c r="G103" s="25"/>
      <c r="H103" s="25"/>
      <c r="I103" s="25"/>
      <c r="J103" s="25"/>
      <c r="K103" s="25"/>
      <c r="L103" s="25"/>
      <c r="M103" s="25"/>
      <c r="N103" s="52">
        <v>0</v>
      </c>
      <c r="O103" s="25"/>
      <c r="P103" s="5"/>
    </row>
    <row r="104" spans="1:17" ht="15.6" x14ac:dyDescent="0.3">
      <c r="A104" s="24">
        <f t="shared" si="0"/>
        <v>13</v>
      </c>
      <c r="B104" s="25" t="s">
        <v>139</v>
      </c>
      <c r="C104" s="25"/>
      <c r="D104" s="25"/>
      <c r="E104" s="25"/>
      <c r="F104" s="25"/>
      <c r="G104" s="25"/>
      <c r="H104" s="25"/>
      <c r="I104" s="25"/>
      <c r="J104" s="25"/>
      <c r="K104" s="25"/>
      <c r="L104" s="25"/>
      <c r="M104" s="25"/>
      <c r="N104" s="52">
        <v>-60</v>
      </c>
      <c r="O104" s="25"/>
      <c r="P104" s="5"/>
    </row>
    <row r="105" spans="1:17" ht="15.6" x14ac:dyDescent="0.3">
      <c r="A105" s="24">
        <f t="shared" si="0"/>
        <v>14</v>
      </c>
      <c r="B105" s="25" t="s">
        <v>122</v>
      </c>
      <c r="C105" s="25"/>
      <c r="D105" s="25"/>
      <c r="E105" s="25"/>
      <c r="F105" s="25"/>
      <c r="G105" s="25"/>
      <c r="H105" s="25"/>
      <c r="I105" s="25"/>
      <c r="J105" s="25"/>
      <c r="K105" s="25"/>
      <c r="L105" s="25"/>
      <c r="M105" s="25"/>
      <c r="N105" s="52">
        <f>-N88-SUM(N90:N104)</f>
        <v>-790</v>
      </c>
      <c r="O105" s="25"/>
      <c r="P105" s="5"/>
    </row>
    <row r="106" spans="1:17" ht="15.6" x14ac:dyDescent="0.3">
      <c r="A106" s="24"/>
      <c r="B106" s="113" t="s">
        <v>35</v>
      </c>
      <c r="C106" s="25"/>
      <c r="D106" s="25"/>
      <c r="E106" s="25"/>
      <c r="F106" s="25"/>
      <c r="G106" s="25"/>
      <c r="H106" s="25"/>
      <c r="I106" s="25"/>
      <c r="J106" s="25"/>
      <c r="K106" s="25"/>
      <c r="L106" s="25"/>
      <c r="M106" s="25"/>
      <c r="N106" s="57"/>
      <c r="O106" s="25"/>
      <c r="P106" s="5"/>
    </row>
    <row r="107" spans="1:17" ht="15.6" x14ac:dyDescent="0.3">
      <c r="A107" s="24"/>
      <c r="B107" s="25" t="s">
        <v>160</v>
      </c>
      <c r="C107" s="25"/>
      <c r="D107" s="25"/>
      <c r="E107" s="25"/>
      <c r="F107" s="25"/>
      <c r="G107" s="25"/>
      <c r="H107" s="25"/>
      <c r="I107" s="25"/>
      <c r="J107" s="25"/>
      <c r="K107" s="25"/>
      <c r="L107" s="34">
        <v>0</v>
      </c>
      <c r="M107" s="34"/>
      <c r="N107" s="52"/>
      <c r="O107" s="25"/>
      <c r="P107" s="5"/>
    </row>
    <row r="108" spans="1:17" ht="15.6" x14ac:dyDescent="0.3">
      <c r="A108" s="24"/>
      <c r="B108" s="25" t="s">
        <v>161</v>
      </c>
      <c r="C108" s="25"/>
      <c r="D108" s="25"/>
      <c r="E108" s="25"/>
      <c r="F108" s="25"/>
      <c r="G108" s="25"/>
      <c r="H108" s="25"/>
      <c r="I108" s="25"/>
      <c r="J108" s="25"/>
      <c r="K108" s="25"/>
      <c r="L108" s="34">
        <v>-603</v>
      </c>
      <c r="M108" s="34"/>
      <c r="N108" s="52"/>
      <c r="O108" s="25"/>
      <c r="P108" s="5"/>
    </row>
    <row r="109" spans="1:17" ht="15.6" x14ac:dyDescent="0.3">
      <c r="A109" s="24"/>
      <c r="B109" s="25" t="s">
        <v>200</v>
      </c>
      <c r="C109" s="25"/>
      <c r="D109" s="25"/>
      <c r="E109" s="25"/>
      <c r="F109" s="25"/>
      <c r="G109" s="25"/>
      <c r="H109" s="25"/>
      <c r="I109" s="25"/>
      <c r="J109" s="25"/>
      <c r="K109" s="25"/>
      <c r="L109" s="34">
        <v>-8464</v>
      </c>
      <c r="M109" s="34"/>
      <c r="N109" s="52"/>
      <c r="O109" s="25"/>
      <c r="P109" s="5"/>
    </row>
    <row r="110" spans="1:17" ht="15.6" x14ac:dyDescent="0.3">
      <c r="A110" s="24"/>
      <c r="B110" s="25" t="s">
        <v>201</v>
      </c>
      <c r="C110" s="25"/>
      <c r="D110" s="25"/>
      <c r="E110" s="25"/>
      <c r="F110" s="25"/>
      <c r="G110" s="25"/>
      <c r="H110" s="25"/>
      <c r="I110" s="25"/>
      <c r="J110" s="25"/>
      <c r="K110" s="25"/>
      <c r="L110" s="34">
        <v>0</v>
      </c>
      <c r="M110" s="34"/>
      <c r="N110" s="52"/>
      <c r="O110" s="25"/>
      <c r="P110" s="5"/>
    </row>
    <row r="111" spans="1:17" ht="15.6" x14ac:dyDescent="0.3">
      <c r="A111" s="24"/>
      <c r="B111" s="25" t="s">
        <v>202</v>
      </c>
      <c r="C111" s="25"/>
      <c r="D111" s="25"/>
      <c r="E111" s="25"/>
      <c r="F111" s="25"/>
      <c r="G111" s="25"/>
      <c r="H111" s="25"/>
      <c r="I111" s="25"/>
      <c r="J111" s="25"/>
      <c r="K111" s="25"/>
      <c r="L111" s="34">
        <v>0</v>
      </c>
      <c r="M111" s="34"/>
      <c r="N111" s="52"/>
      <c r="O111" s="25"/>
      <c r="P111" s="5"/>
    </row>
    <row r="112" spans="1:17" ht="15.6" x14ac:dyDescent="0.3">
      <c r="A112" s="24"/>
      <c r="B112" s="25" t="s">
        <v>36</v>
      </c>
      <c r="C112" s="25"/>
      <c r="D112" s="25"/>
      <c r="E112" s="25"/>
      <c r="F112" s="25"/>
      <c r="G112" s="25"/>
      <c r="H112" s="25"/>
      <c r="I112" s="25"/>
      <c r="J112" s="25"/>
      <c r="K112" s="25"/>
      <c r="L112" s="34">
        <f>SUM(L107:L111)</f>
        <v>-9067</v>
      </c>
      <c r="M112" s="34"/>
      <c r="N112" s="34">
        <f>SUM(N89:N110)</f>
        <v>-3303</v>
      </c>
      <c r="O112" s="25"/>
      <c r="P112" s="5"/>
    </row>
    <row r="113" spans="1:17" ht="15.6" x14ac:dyDescent="0.3">
      <c r="A113" s="24"/>
      <c r="B113" s="25" t="s">
        <v>37</v>
      </c>
      <c r="C113" s="25"/>
      <c r="D113" s="25"/>
      <c r="E113" s="25"/>
      <c r="F113" s="25"/>
      <c r="G113" s="25"/>
      <c r="H113" s="25"/>
      <c r="I113" s="25"/>
      <c r="J113" s="25"/>
      <c r="K113" s="25"/>
      <c r="L113" s="34">
        <f>L88+L112+L99</f>
        <v>0</v>
      </c>
      <c r="M113" s="34"/>
      <c r="N113" s="34">
        <f>N88+N112</f>
        <v>0</v>
      </c>
      <c r="O113" s="25"/>
      <c r="P113" s="5"/>
    </row>
    <row r="114" spans="1:17" ht="15.6" x14ac:dyDescent="0.3">
      <c r="A114" s="24"/>
      <c r="B114" s="25"/>
      <c r="C114" s="25"/>
      <c r="D114" s="25"/>
      <c r="E114" s="25"/>
      <c r="F114" s="25"/>
      <c r="G114" s="25"/>
      <c r="H114" s="25"/>
      <c r="I114" s="25"/>
      <c r="J114" s="25"/>
      <c r="K114" s="25"/>
      <c r="L114" s="34"/>
      <c r="M114" s="34"/>
      <c r="N114" s="34"/>
      <c r="O114" s="25"/>
      <c r="P114" s="5"/>
    </row>
    <row r="115" spans="1:17" ht="15.6" x14ac:dyDescent="0.3">
      <c r="A115" s="6"/>
      <c r="B115" s="8"/>
      <c r="C115" s="8"/>
      <c r="D115" s="8"/>
      <c r="E115" s="8"/>
      <c r="F115" s="8"/>
      <c r="G115" s="8"/>
      <c r="H115" s="8"/>
      <c r="I115" s="8"/>
      <c r="J115" s="8"/>
      <c r="K115" s="8"/>
      <c r="L115" s="8"/>
      <c r="M115" s="8"/>
      <c r="N115" s="51"/>
      <c r="O115" s="8"/>
      <c r="P115" s="5"/>
    </row>
    <row r="116" spans="1:17" ht="18" thickBot="1" x14ac:dyDescent="0.35">
      <c r="A116" s="96"/>
      <c r="B116" s="97" t="str">
        <f>B52</f>
        <v>FF7 INVESTOR REPORT QUARTER ENDING NOVEMBER 2008</v>
      </c>
      <c r="C116" s="98"/>
      <c r="D116" s="98"/>
      <c r="E116" s="98"/>
      <c r="F116" s="98"/>
      <c r="G116" s="98"/>
      <c r="H116" s="98"/>
      <c r="I116" s="98"/>
      <c r="J116" s="98"/>
      <c r="K116" s="98"/>
      <c r="L116" s="98"/>
      <c r="M116" s="98"/>
      <c r="N116" s="101"/>
      <c r="O116" s="100"/>
      <c r="P116" s="5"/>
    </row>
    <row r="117" spans="1:17" ht="15.6" x14ac:dyDescent="0.3">
      <c r="A117" s="2"/>
      <c r="B117" s="58" t="s">
        <v>38</v>
      </c>
      <c r="C117" s="4"/>
      <c r="D117" s="4"/>
      <c r="E117" s="4"/>
      <c r="F117" s="4"/>
      <c r="G117" s="4"/>
      <c r="H117" s="4"/>
      <c r="I117" s="4"/>
      <c r="J117" s="4"/>
      <c r="K117" s="4"/>
      <c r="L117" s="4"/>
      <c r="M117" s="4"/>
      <c r="N117" s="49"/>
      <c r="O117" s="4"/>
      <c r="P117" s="5"/>
    </row>
    <row r="118" spans="1:17" ht="15.6" x14ac:dyDescent="0.3">
      <c r="A118" s="6"/>
      <c r="B118" s="21"/>
      <c r="C118" s="8"/>
      <c r="D118" s="8"/>
      <c r="E118" s="8"/>
      <c r="F118" s="8"/>
      <c r="G118" s="8"/>
      <c r="H118" s="8"/>
      <c r="I118" s="8"/>
      <c r="J118" s="8"/>
      <c r="K118" s="8"/>
      <c r="L118" s="8"/>
      <c r="M118" s="8"/>
      <c r="N118" s="51"/>
      <c r="O118" s="8"/>
      <c r="P118" s="5"/>
    </row>
    <row r="119" spans="1:17" ht="15.6" x14ac:dyDescent="0.3">
      <c r="A119" s="6"/>
      <c r="B119" s="114" t="s">
        <v>39</v>
      </c>
      <c r="C119" s="8"/>
      <c r="D119" s="8"/>
      <c r="E119" s="8"/>
      <c r="F119" s="8"/>
      <c r="G119" s="8"/>
      <c r="H119" s="8"/>
      <c r="I119" s="8"/>
      <c r="J119" s="8"/>
      <c r="K119" s="8"/>
      <c r="L119" s="8"/>
      <c r="M119" s="8"/>
      <c r="N119" s="51"/>
      <c r="O119" s="8"/>
      <c r="P119" s="5"/>
    </row>
    <row r="120" spans="1:17" ht="15.6" x14ac:dyDescent="0.3">
      <c r="A120" s="24"/>
      <c r="B120" s="25" t="s">
        <v>40</v>
      </c>
      <c r="C120" s="25"/>
      <c r="D120" s="25"/>
      <c r="E120" s="25"/>
      <c r="F120" s="25"/>
      <c r="G120" s="25"/>
      <c r="H120" s="25"/>
      <c r="I120" s="25"/>
      <c r="J120" s="25"/>
      <c r="K120" s="25"/>
      <c r="L120" s="25"/>
      <c r="M120" s="25"/>
      <c r="N120" s="52">
        <f>N28*0.003</f>
        <v>805.80000000000007</v>
      </c>
      <c r="O120" s="25"/>
      <c r="P120" s="5"/>
    </row>
    <row r="121" spans="1:17" ht="15.6" x14ac:dyDescent="0.3">
      <c r="A121" s="24"/>
      <c r="B121" s="25" t="s">
        <v>41</v>
      </c>
      <c r="C121" s="25"/>
      <c r="D121" s="25"/>
      <c r="E121" s="25"/>
      <c r="F121" s="25"/>
      <c r="G121" s="25"/>
      <c r="H121" s="25"/>
      <c r="I121" s="25"/>
      <c r="J121" s="25"/>
      <c r="K121" s="25"/>
      <c r="L121" s="25"/>
      <c r="M121" s="25"/>
      <c r="N121" s="52">
        <v>806</v>
      </c>
      <c r="O121" s="25"/>
      <c r="P121" s="5"/>
    </row>
    <row r="122" spans="1:17" ht="15.6" x14ac:dyDescent="0.3">
      <c r="A122" s="24"/>
      <c r="B122" s="25" t="s">
        <v>132</v>
      </c>
      <c r="C122" s="25"/>
      <c r="D122" s="25"/>
      <c r="E122" s="25"/>
      <c r="F122" s="25"/>
      <c r="G122" s="25"/>
      <c r="H122" s="25"/>
      <c r="I122" s="25"/>
      <c r="J122" s="25"/>
      <c r="K122" s="25"/>
      <c r="L122" s="25"/>
      <c r="M122" s="25"/>
      <c r="N122" s="52">
        <v>0</v>
      </c>
      <c r="O122" s="25"/>
      <c r="P122" s="5"/>
    </row>
    <row r="123" spans="1:17" ht="15.6" x14ac:dyDescent="0.3">
      <c r="A123" s="24"/>
      <c r="B123" s="25" t="s">
        <v>221</v>
      </c>
      <c r="C123" s="25"/>
      <c r="D123" s="25"/>
      <c r="E123" s="25"/>
      <c r="F123" s="25"/>
      <c r="G123" s="25"/>
      <c r="H123" s="25"/>
      <c r="I123" s="25"/>
      <c r="J123" s="25"/>
      <c r="K123" s="25"/>
      <c r="L123" s="25"/>
      <c r="M123" s="25"/>
      <c r="N123" s="52">
        <v>0</v>
      </c>
      <c r="O123" s="25"/>
      <c r="P123" s="5"/>
    </row>
    <row r="124" spans="1:17" ht="15.6" x14ac:dyDescent="0.3">
      <c r="A124" s="24"/>
      <c r="B124" s="25" t="s">
        <v>222</v>
      </c>
      <c r="C124" s="25"/>
      <c r="D124" s="25"/>
      <c r="E124" s="25"/>
      <c r="F124" s="25"/>
      <c r="G124" s="25"/>
      <c r="H124" s="25"/>
      <c r="I124" s="25"/>
      <c r="J124" s="25"/>
      <c r="K124" s="25"/>
      <c r="L124" s="25"/>
      <c r="M124" s="25"/>
      <c r="N124" s="52">
        <v>0</v>
      </c>
      <c r="O124" s="25"/>
      <c r="P124" s="5"/>
    </row>
    <row r="125" spans="1:17" ht="15.6" x14ac:dyDescent="0.3">
      <c r="A125" s="24"/>
      <c r="B125" s="25" t="s">
        <v>223</v>
      </c>
      <c r="C125" s="25"/>
      <c r="D125" s="25"/>
      <c r="E125" s="25"/>
      <c r="F125" s="25"/>
      <c r="G125" s="25"/>
      <c r="H125" s="25"/>
      <c r="I125" s="25"/>
      <c r="J125" s="25"/>
      <c r="K125" s="25"/>
      <c r="L125" s="25"/>
      <c r="M125" s="25"/>
      <c r="N125" s="52">
        <v>0</v>
      </c>
      <c r="O125" s="25"/>
      <c r="P125" s="5"/>
    </row>
    <row r="126" spans="1:17" ht="15.6" x14ac:dyDescent="0.3">
      <c r="A126" s="24"/>
      <c r="B126" s="25" t="s">
        <v>42</v>
      </c>
      <c r="C126" s="25"/>
      <c r="D126" s="25"/>
      <c r="E126" s="25"/>
      <c r="F126" s="25"/>
      <c r="G126" s="25"/>
      <c r="H126" s="25"/>
      <c r="I126" s="25"/>
      <c r="J126" s="25"/>
      <c r="K126" s="25"/>
      <c r="L126" s="25"/>
      <c r="M126" s="25"/>
      <c r="N126" s="52">
        <v>0</v>
      </c>
      <c r="O126" s="25"/>
      <c r="P126" s="5"/>
    </row>
    <row r="127" spans="1:17" ht="15.6" x14ac:dyDescent="0.3">
      <c r="A127" s="24"/>
      <c r="B127" s="25" t="s">
        <v>125</v>
      </c>
      <c r="C127" s="25"/>
      <c r="D127" s="25"/>
      <c r="E127" s="25"/>
      <c r="F127" s="25"/>
      <c r="G127" s="25"/>
      <c r="H127" s="25"/>
      <c r="I127" s="25"/>
      <c r="J127" s="25"/>
      <c r="K127" s="25"/>
      <c r="L127" s="25"/>
      <c r="M127" s="25"/>
      <c r="N127" s="52">
        <v>0</v>
      </c>
      <c r="O127" s="25"/>
      <c r="P127" s="5"/>
    </row>
    <row r="128" spans="1:17" ht="15.6" x14ac:dyDescent="0.3">
      <c r="A128" s="24"/>
      <c r="B128" s="25" t="s">
        <v>225</v>
      </c>
      <c r="C128" s="25"/>
      <c r="D128" s="25"/>
      <c r="E128" s="25"/>
      <c r="F128" s="25"/>
      <c r="G128" s="25"/>
      <c r="H128" s="25"/>
      <c r="I128" s="25"/>
      <c r="J128" s="25"/>
      <c r="K128" s="25"/>
      <c r="L128" s="25"/>
      <c r="M128" s="25"/>
      <c r="N128" s="52">
        <v>0</v>
      </c>
      <c r="O128" s="25"/>
      <c r="P128" s="5"/>
      <c r="Q128" s="104"/>
    </row>
    <row r="129" spans="1:16" ht="15.6" x14ac:dyDescent="0.3">
      <c r="A129" s="24"/>
      <c r="B129" s="25" t="s">
        <v>43</v>
      </c>
      <c r="C129" s="25"/>
      <c r="D129" s="25"/>
      <c r="E129" s="25"/>
      <c r="F129" s="25"/>
      <c r="G129" s="25"/>
      <c r="H129" s="25"/>
      <c r="I129" s="25"/>
      <c r="J129" s="25"/>
      <c r="K129" s="25"/>
      <c r="L129" s="25"/>
      <c r="M129" s="25"/>
      <c r="N129" s="52">
        <f>SUM(N121:N128)</f>
        <v>806</v>
      </c>
      <c r="O129" s="25"/>
      <c r="P129" s="5"/>
    </row>
    <row r="130" spans="1:16" ht="15.6" x14ac:dyDescent="0.3">
      <c r="A130" s="24"/>
      <c r="B130" s="25"/>
      <c r="C130" s="25"/>
      <c r="D130" s="25"/>
      <c r="E130" s="25"/>
      <c r="F130" s="25"/>
      <c r="G130" s="25"/>
      <c r="H130" s="25"/>
      <c r="I130" s="25"/>
      <c r="J130" s="25"/>
      <c r="K130" s="25"/>
      <c r="L130" s="25"/>
      <c r="M130" s="25"/>
      <c r="N130" s="52"/>
      <c r="O130" s="25"/>
      <c r="P130" s="5"/>
    </row>
    <row r="131" spans="1:16" ht="15.6" x14ac:dyDescent="0.3">
      <c r="A131" s="24"/>
      <c r="B131" s="130" t="s">
        <v>179</v>
      </c>
      <c r="C131" s="25"/>
      <c r="D131" s="25"/>
      <c r="E131" s="25"/>
      <c r="F131" s="25"/>
      <c r="G131" s="25"/>
      <c r="H131" s="25"/>
      <c r="I131" s="25"/>
      <c r="J131" s="25"/>
      <c r="K131" s="25"/>
      <c r="L131" s="25"/>
      <c r="M131" s="25"/>
      <c r="N131" s="52"/>
      <c r="O131" s="25"/>
      <c r="P131" s="5"/>
    </row>
    <row r="132" spans="1:16" ht="15.6" x14ac:dyDescent="0.3">
      <c r="A132" s="24"/>
      <c r="B132" s="25" t="s">
        <v>144</v>
      </c>
      <c r="C132" s="25"/>
      <c r="D132" s="25"/>
      <c r="E132" s="25"/>
      <c r="F132" s="25"/>
      <c r="G132" s="25"/>
      <c r="H132" s="25"/>
      <c r="I132" s="25"/>
      <c r="J132" s="25"/>
      <c r="K132" s="25"/>
      <c r="L132" s="25"/>
      <c r="M132" s="25"/>
      <c r="N132" s="52">
        <v>7098</v>
      </c>
      <c r="O132" s="25"/>
      <c r="P132" s="5"/>
    </row>
    <row r="133" spans="1:16" ht="15.6" x14ac:dyDescent="0.3">
      <c r="A133" s="24"/>
      <c r="B133" s="25" t="s">
        <v>159</v>
      </c>
      <c r="C133" s="25"/>
      <c r="D133" s="25"/>
      <c r="E133" s="25"/>
      <c r="F133" s="25"/>
      <c r="G133" s="25"/>
      <c r="H133" s="25"/>
      <c r="I133" s="25"/>
      <c r="J133" s="25"/>
      <c r="K133" s="25"/>
      <c r="L133" s="25"/>
      <c r="M133" s="25"/>
      <c r="N133" s="52">
        <v>0</v>
      </c>
      <c r="O133" s="25"/>
      <c r="P133" s="5"/>
    </row>
    <row r="134" spans="1:16" ht="15.6" x14ac:dyDescent="0.3">
      <c r="A134" s="24"/>
      <c r="B134" s="25" t="s">
        <v>183</v>
      </c>
      <c r="C134" s="25"/>
      <c r="D134" s="25"/>
      <c r="E134" s="25"/>
      <c r="F134" s="25"/>
      <c r="G134" s="25"/>
      <c r="H134" s="25"/>
      <c r="I134" s="25"/>
      <c r="J134" s="25"/>
      <c r="K134" s="25"/>
      <c r="L134" s="25"/>
      <c r="M134" s="25"/>
      <c r="N134" s="52">
        <v>4225</v>
      </c>
      <c r="O134" s="25"/>
      <c r="P134" s="5"/>
    </row>
    <row r="135" spans="1:16" ht="15.6" x14ac:dyDescent="0.3">
      <c r="A135" s="24"/>
      <c r="B135" s="25"/>
      <c r="C135" s="25"/>
      <c r="D135" s="25"/>
      <c r="E135" s="25"/>
      <c r="F135" s="25"/>
      <c r="G135" s="25"/>
      <c r="H135" s="25"/>
      <c r="I135" s="25"/>
      <c r="J135" s="25"/>
      <c r="K135" s="25"/>
      <c r="L135" s="25"/>
      <c r="M135" s="25"/>
      <c r="N135" s="52"/>
      <c r="O135" s="25"/>
      <c r="P135" s="5"/>
    </row>
    <row r="136" spans="1:16" ht="15.6" x14ac:dyDescent="0.3">
      <c r="A136" s="24"/>
      <c r="B136" s="25"/>
      <c r="C136" s="25"/>
      <c r="D136" s="25"/>
      <c r="E136" s="25"/>
      <c r="F136" s="25"/>
      <c r="G136" s="25"/>
      <c r="H136" s="25"/>
      <c r="I136" s="25"/>
      <c r="J136" s="25"/>
      <c r="K136" s="25"/>
      <c r="L136" s="25"/>
      <c r="M136" s="25"/>
      <c r="N136" s="59"/>
      <c r="O136" s="25"/>
      <c r="P136" s="5"/>
    </row>
    <row r="137" spans="1:16" ht="15.6" x14ac:dyDescent="0.3">
      <c r="A137" s="6"/>
      <c r="B137" s="114" t="s">
        <v>22</v>
      </c>
      <c r="C137" s="8"/>
      <c r="D137" s="8"/>
      <c r="E137" s="8"/>
      <c r="F137" s="8"/>
      <c r="G137" s="8"/>
      <c r="H137" s="8"/>
      <c r="I137" s="8"/>
      <c r="J137" s="8"/>
      <c r="K137" s="8"/>
      <c r="L137" s="8"/>
      <c r="M137" s="8"/>
      <c r="N137" s="51"/>
      <c r="O137" s="8"/>
      <c r="P137" s="5"/>
    </row>
    <row r="138" spans="1:16" ht="15.6" x14ac:dyDescent="0.3">
      <c r="A138" s="24"/>
      <c r="B138" s="25" t="s">
        <v>44</v>
      </c>
      <c r="C138" s="25"/>
      <c r="D138" s="25"/>
      <c r="E138" s="25"/>
      <c r="F138" s="25"/>
      <c r="G138" s="25"/>
      <c r="H138" s="25"/>
      <c r="I138" s="25"/>
      <c r="J138" s="25"/>
      <c r="K138" s="25"/>
      <c r="L138" s="25"/>
      <c r="M138" s="25"/>
      <c r="N138" s="57" t="s">
        <v>117</v>
      </c>
      <c r="O138" s="25"/>
      <c r="P138" s="5"/>
    </row>
    <row r="139" spans="1:16" ht="15.6" x14ac:dyDescent="0.3">
      <c r="A139" s="24"/>
      <c r="B139" s="25" t="s">
        <v>45</v>
      </c>
      <c r="C139" s="175"/>
      <c r="D139" s="175"/>
      <c r="E139" s="175"/>
      <c r="F139" s="175"/>
      <c r="G139" s="175"/>
      <c r="H139" s="175"/>
      <c r="I139" s="175"/>
      <c r="J139" s="175"/>
      <c r="K139" s="175"/>
      <c r="L139" s="175"/>
      <c r="M139" s="175"/>
      <c r="N139" s="57" t="s">
        <v>117</v>
      </c>
      <c r="O139" s="25"/>
      <c r="P139" s="5"/>
    </row>
    <row r="140" spans="1:16" ht="15.6" x14ac:dyDescent="0.3">
      <c r="A140" s="24"/>
      <c r="B140" s="25" t="s">
        <v>46</v>
      </c>
      <c r="C140" s="25"/>
      <c r="D140" s="25"/>
      <c r="E140" s="25"/>
      <c r="F140" s="25"/>
      <c r="G140" s="25"/>
      <c r="H140" s="25"/>
      <c r="I140" s="25"/>
      <c r="J140" s="25"/>
      <c r="K140" s="25"/>
      <c r="L140" s="25"/>
      <c r="M140" s="25"/>
      <c r="N140" s="57" t="s">
        <v>117</v>
      </c>
      <c r="O140" s="25"/>
      <c r="P140" s="5"/>
    </row>
    <row r="141" spans="1:16" ht="15.6" x14ac:dyDescent="0.3">
      <c r="A141" s="24"/>
      <c r="B141" s="25" t="s">
        <v>47</v>
      </c>
      <c r="C141" s="25"/>
      <c r="D141" s="25"/>
      <c r="E141" s="25"/>
      <c r="F141" s="25"/>
      <c r="G141" s="25"/>
      <c r="H141" s="25"/>
      <c r="I141" s="25"/>
      <c r="J141" s="25"/>
      <c r="K141" s="25"/>
      <c r="L141" s="25"/>
      <c r="M141" s="25"/>
      <c r="N141" s="57" t="s">
        <v>117</v>
      </c>
      <c r="O141" s="25"/>
      <c r="P141" s="5"/>
    </row>
    <row r="142" spans="1:16" ht="15.6" x14ac:dyDescent="0.3">
      <c r="A142" s="24"/>
      <c r="B142" s="25"/>
      <c r="C142" s="25"/>
      <c r="D142" s="25"/>
      <c r="E142" s="25"/>
      <c r="F142" s="25"/>
      <c r="G142" s="25"/>
      <c r="H142" s="25"/>
      <c r="I142" s="25"/>
      <c r="J142" s="25"/>
      <c r="K142" s="25"/>
      <c r="L142" s="25"/>
      <c r="M142" s="25"/>
      <c r="N142" s="59"/>
      <c r="O142" s="25"/>
      <c r="P142" s="5"/>
    </row>
    <row r="143" spans="1:16" ht="15.6" x14ac:dyDescent="0.3">
      <c r="A143" s="6"/>
      <c r="B143" s="114" t="s">
        <v>48</v>
      </c>
      <c r="C143" s="8"/>
      <c r="D143" s="8"/>
      <c r="E143" s="8"/>
      <c r="F143" s="8"/>
      <c r="G143" s="8"/>
      <c r="H143" s="8"/>
      <c r="I143" s="8"/>
      <c r="J143" s="8"/>
      <c r="K143" s="8"/>
      <c r="L143" s="8"/>
      <c r="M143" s="8"/>
      <c r="N143" s="61"/>
      <c r="O143" s="8"/>
      <c r="P143" s="5"/>
    </row>
    <row r="144" spans="1:16" ht="15.6" x14ac:dyDescent="0.3">
      <c r="A144" s="24"/>
      <c r="B144" s="25" t="s">
        <v>49</v>
      </c>
      <c r="C144" s="25"/>
      <c r="D144" s="25"/>
      <c r="E144" s="25"/>
      <c r="F144" s="25"/>
      <c r="G144" s="25"/>
      <c r="H144" s="25"/>
      <c r="I144" s="25"/>
      <c r="J144" s="25"/>
      <c r="K144" s="25"/>
      <c r="L144" s="25"/>
      <c r="M144" s="25"/>
      <c r="N144" s="52">
        <v>0</v>
      </c>
      <c r="O144" s="25"/>
      <c r="P144" s="5"/>
    </row>
    <row r="145" spans="1:256" ht="15.6" x14ac:dyDescent="0.3">
      <c r="A145" s="24"/>
      <c r="B145" s="25" t="s">
        <v>50</v>
      </c>
      <c r="C145" s="25"/>
      <c r="D145" s="25"/>
      <c r="E145" s="25"/>
      <c r="F145" s="25"/>
      <c r="G145" s="25"/>
      <c r="H145" s="25"/>
      <c r="I145" s="25"/>
      <c r="J145" s="25"/>
      <c r="K145" s="25"/>
      <c r="L145" s="25"/>
      <c r="M145" s="25"/>
      <c r="N145" s="52">
        <v>14</v>
      </c>
      <c r="O145" s="25"/>
      <c r="P145" s="5"/>
    </row>
    <row r="146" spans="1:256" ht="15.6" x14ac:dyDescent="0.3">
      <c r="A146" s="24"/>
      <c r="B146" s="25" t="s">
        <v>51</v>
      </c>
      <c r="C146" s="25"/>
      <c r="D146" s="25"/>
      <c r="E146" s="25"/>
      <c r="F146" s="25"/>
      <c r="G146" s="25"/>
      <c r="H146" s="25"/>
      <c r="I146" s="25"/>
      <c r="J146" s="25"/>
      <c r="K146" s="25"/>
      <c r="L146" s="25"/>
      <c r="M146" s="25"/>
      <c r="N146" s="52">
        <f>N145+N144</f>
        <v>14</v>
      </c>
      <c r="O146" s="25"/>
      <c r="P146" s="5"/>
    </row>
    <row r="147" spans="1:256" ht="15.6" x14ac:dyDescent="0.3">
      <c r="A147" s="24"/>
      <c r="B147" s="25" t="s">
        <v>264</v>
      </c>
      <c r="C147" s="25"/>
      <c r="D147" s="25"/>
      <c r="E147" s="25"/>
      <c r="F147" s="25"/>
      <c r="G147" s="25"/>
      <c r="H147" s="25"/>
      <c r="I147" s="25"/>
      <c r="J147" s="25"/>
      <c r="K147" s="25"/>
      <c r="L147" s="25"/>
      <c r="M147" s="25"/>
      <c r="N147" s="52">
        <v>-14</v>
      </c>
      <c r="O147" s="25"/>
      <c r="P147" s="5"/>
    </row>
    <row r="148" spans="1:256" ht="15.6" x14ac:dyDescent="0.3">
      <c r="A148" s="24"/>
      <c r="B148" s="25" t="s">
        <v>52</v>
      </c>
      <c r="C148" s="25"/>
      <c r="D148" s="25"/>
      <c r="E148" s="25"/>
      <c r="F148" s="25"/>
      <c r="G148" s="25"/>
      <c r="H148" s="25"/>
      <c r="I148" s="25"/>
      <c r="J148" s="25"/>
      <c r="K148" s="25"/>
      <c r="L148" s="25"/>
      <c r="M148" s="25"/>
      <c r="N148" s="52">
        <f>N146+N147</f>
        <v>0</v>
      </c>
      <c r="O148" s="25"/>
      <c r="P148" s="5"/>
    </row>
    <row r="149" spans="1:256" ht="16.2" thickBot="1" x14ac:dyDescent="0.35">
      <c r="A149" s="24"/>
      <c r="B149" s="25"/>
      <c r="C149" s="25"/>
      <c r="D149" s="25"/>
      <c r="E149" s="25"/>
      <c r="F149" s="25"/>
      <c r="G149" s="25"/>
      <c r="H149" s="25"/>
      <c r="I149" s="25"/>
      <c r="J149" s="25"/>
      <c r="K149" s="25"/>
      <c r="L149" s="25"/>
      <c r="M149" s="25"/>
      <c r="N149" s="59"/>
      <c r="O149" s="25"/>
      <c r="P149" s="5"/>
    </row>
    <row r="150" spans="1:256" ht="15.6" x14ac:dyDescent="0.3">
      <c r="A150" s="2"/>
      <c r="B150" s="4"/>
      <c r="C150" s="4"/>
      <c r="D150" s="4"/>
      <c r="E150" s="4"/>
      <c r="F150" s="4"/>
      <c r="G150" s="4"/>
      <c r="H150" s="4"/>
      <c r="I150" s="4"/>
      <c r="J150" s="4"/>
      <c r="K150" s="4"/>
      <c r="L150" s="4"/>
      <c r="M150" s="4"/>
      <c r="N150" s="49"/>
      <c r="O150" s="4"/>
      <c r="P150" s="5"/>
    </row>
    <row r="151" spans="1:256" ht="15.6" x14ac:dyDescent="0.3">
      <c r="A151" s="6"/>
      <c r="B151" s="114" t="s">
        <v>53</v>
      </c>
      <c r="C151" s="8"/>
      <c r="D151" s="8"/>
      <c r="E151" s="8"/>
      <c r="F151" s="8"/>
      <c r="G151" s="8"/>
      <c r="H151" s="8"/>
      <c r="I151" s="8"/>
      <c r="J151" s="8"/>
      <c r="K151" s="8"/>
      <c r="L151" s="8"/>
      <c r="M151" s="8"/>
      <c r="N151" s="51"/>
      <c r="O151" s="8"/>
      <c r="P151" s="5"/>
    </row>
    <row r="152" spans="1:256" ht="15.6" x14ac:dyDescent="0.3">
      <c r="A152" s="6"/>
      <c r="B152" s="21"/>
      <c r="C152" s="8"/>
      <c r="D152" s="8"/>
      <c r="E152" s="8"/>
      <c r="F152" s="8"/>
      <c r="G152" s="8"/>
      <c r="H152" s="8"/>
      <c r="I152" s="8"/>
      <c r="J152" s="8"/>
      <c r="K152" s="8"/>
      <c r="L152" s="8"/>
      <c r="M152" s="8"/>
      <c r="N152" s="51"/>
      <c r="O152" s="8"/>
      <c r="P152" s="5"/>
    </row>
    <row r="153" spans="1:256" ht="15.6" x14ac:dyDescent="0.3">
      <c r="A153" s="24"/>
      <c r="B153" s="25" t="s">
        <v>234</v>
      </c>
      <c r="C153" s="25"/>
      <c r="D153" s="25"/>
      <c r="E153" s="25"/>
      <c r="F153" s="25"/>
      <c r="G153" s="25"/>
      <c r="H153" s="25"/>
      <c r="I153" s="25"/>
      <c r="J153" s="25"/>
      <c r="K153" s="25"/>
      <c r="L153" s="25"/>
      <c r="M153" s="25"/>
      <c r="N153" s="52">
        <f>N57</f>
        <v>153161</v>
      </c>
      <c r="O153" s="25"/>
      <c r="P153" s="5"/>
      <c r="Q153" s="104"/>
    </row>
    <row r="154" spans="1:256" ht="15.6" x14ac:dyDescent="0.3">
      <c r="A154" s="24"/>
      <c r="B154" s="25" t="s">
        <v>54</v>
      </c>
      <c r="C154" s="25"/>
      <c r="D154" s="25"/>
      <c r="E154" s="25"/>
      <c r="F154" s="25"/>
      <c r="G154" s="25"/>
      <c r="H154" s="25"/>
      <c r="I154" s="25"/>
      <c r="J154" s="25"/>
      <c r="K154" s="25"/>
      <c r="L154" s="25"/>
      <c r="M154" s="25"/>
      <c r="N154" s="52">
        <f>N73</f>
        <v>153161</v>
      </c>
      <c r="O154" s="25"/>
      <c r="P154" s="5"/>
    </row>
    <row r="155" spans="1:256" ht="16.2" thickBot="1" x14ac:dyDescent="0.35">
      <c r="A155" s="24"/>
      <c r="B155" s="25"/>
      <c r="C155" s="25"/>
      <c r="D155" s="25"/>
      <c r="E155" s="25"/>
      <c r="F155" s="25"/>
      <c r="G155" s="25"/>
      <c r="H155" s="25"/>
      <c r="I155" s="25"/>
      <c r="J155" s="25"/>
      <c r="K155" s="25"/>
      <c r="L155" s="25"/>
      <c r="M155" s="25"/>
      <c r="N155" s="59"/>
      <c r="O155" s="25"/>
      <c r="P155" s="5"/>
    </row>
    <row r="156" spans="1:256" s="150" customFormat="1" ht="15.6" x14ac:dyDescent="0.3">
      <c r="A156" s="2"/>
      <c r="B156" s="4"/>
      <c r="C156" s="4"/>
      <c r="D156" s="4"/>
      <c r="E156" s="4"/>
      <c r="F156" s="4"/>
      <c r="G156" s="4"/>
      <c r="H156" s="4"/>
      <c r="I156" s="4"/>
      <c r="J156" s="4"/>
      <c r="K156" s="4"/>
      <c r="L156" s="4"/>
      <c r="M156" s="4"/>
      <c r="N156" s="49"/>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s="153" customFormat="1" ht="15.6" x14ac:dyDescent="0.3">
      <c r="A157" s="6"/>
      <c r="B157" s="160" t="s">
        <v>205</v>
      </c>
      <c r="C157" s="151"/>
      <c r="D157" s="151"/>
      <c r="E157" s="151"/>
      <c r="F157" s="151"/>
      <c r="G157" s="151"/>
      <c r="H157" s="151"/>
      <c r="I157" s="151"/>
      <c r="J157" s="151"/>
      <c r="K157" s="151"/>
      <c r="L157" s="151"/>
      <c r="M157" s="151"/>
      <c r="N157" s="152"/>
      <c r="O157" s="151"/>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ht="16.2" thickBot="1" x14ac:dyDescent="0.35">
      <c r="A158" s="6"/>
      <c r="B158" s="151"/>
      <c r="C158" s="151"/>
      <c r="D158" s="151"/>
      <c r="E158" s="151"/>
      <c r="F158" s="151"/>
      <c r="G158" s="151"/>
      <c r="H158" s="151"/>
      <c r="I158" s="151"/>
      <c r="J158" s="151"/>
      <c r="K158" s="151"/>
      <c r="L158" s="151"/>
      <c r="M158" s="151"/>
      <c r="N158" s="152"/>
      <c r="O158" s="151"/>
      <c r="P158" s="5"/>
    </row>
    <row r="159" spans="1:256" s="156" customFormat="1" ht="15.6" x14ac:dyDescent="0.3">
      <c r="A159" s="2"/>
      <c r="B159" s="4" t="s">
        <v>206</v>
      </c>
      <c r="C159" s="4"/>
      <c r="D159" s="4"/>
      <c r="E159" s="4"/>
      <c r="F159" s="4"/>
      <c r="G159" s="4"/>
      <c r="H159" s="4"/>
      <c r="I159" s="4"/>
      <c r="J159" s="4"/>
      <c r="K159" s="4"/>
      <c r="L159" s="4"/>
      <c r="M159" s="4"/>
      <c r="N159" s="185">
        <f>+'Aug 08'!N162</f>
        <v>535</v>
      </c>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53" customFormat="1" ht="15.6" x14ac:dyDescent="0.3">
      <c r="A160" s="181"/>
      <c r="B160" s="182" t="s">
        <v>207</v>
      </c>
      <c r="C160" s="182"/>
      <c r="D160" s="182"/>
      <c r="E160" s="182"/>
      <c r="F160" s="182"/>
      <c r="G160" s="182"/>
      <c r="H160" s="182"/>
      <c r="I160" s="182"/>
      <c r="J160" s="182"/>
      <c r="K160" s="182"/>
      <c r="L160" s="182"/>
      <c r="M160" s="182"/>
      <c r="N160" s="183">
        <f>+H58</f>
        <v>5</v>
      </c>
      <c r="O160" s="18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63" customFormat="1" ht="15.6" x14ac:dyDescent="0.3">
      <c r="A161" s="181"/>
      <c r="B161" s="182" t="s">
        <v>208</v>
      </c>
      <c r="C161" s="182"/>
      <c r="D161" s="182"/>
      <c r="E161" s="182"/>
      <c r="F161" s="182"/>
      <c r="G161" s="182"/>
      <c r="H161" s="182"/>
      <c r="I161" s="182"/>
      <c r="J161" s="182"/>
      <c r="K161" s="182"/>
      <c r="L161" s="182"/>
      <c r="M161" s="182"/>
      <c r="N161" s="183">
        <v>0</v>
      </c>
      <c r="O161" s="18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5.6" x14ac:dyDescent="0.3">
      <c r="A162" s="181"/>
      <c r="B162" s="182" t="s">
        <v>217</v>
      </c>
      <c r="C162" s="182"/>
      <c r="D162" s="182"/>
      <c r="E162" s="182"/>
      <c r="F162" s="182"/>
      <c r="G162" s="182"/>
      <c r="H162" s="182"/>
      <c r="I162" s="182"/>
      <c r="J162" s="182"/>
      <c r="K162" s="182"/>
      <c r="L162" s="182"/>
      <c r="M162" s="182"/>
      <c r="N162" s="183">
        <f>N159-N160-N161</f>
        <v>530</v>
      </c>
      <c r="O162" s="18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59" customFormat="1" ht="16.2" thickBot="1" x14ac:dyDescent="0.35">
      <c r="A163" s="6"/>
      <c r="B163" s="151"/>
      <c r="C163" s="151"/>
      <c r="D163" s="151"/>
      <c r="E163" s="151"/>
      <c r="F163" s="151"/>
      <c r="G163" s="151"/>
      <c r="H163" s="151"/>
      <c r="I163" s="151"/>
      <c r="J163" s="151"/>
      <c r="K163" s="151"/>
      <c r="L163" s="151"/>
      <c r="M163" s="151"/>
      <c r="N163" s="165"/>
      <c r="O163" s="151"/>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s="173" customFormat="1" ht="15.6" x14ac:dyDescent="0.3">
      <c r="A164" s="168"/>
      <c r="B164" s="169"/>
      <c r="C164" s="169"/>
      <c r="D164" s="169"/>
      <c r="E164" s="169"/>
      <c r="F164" s="169"/>
      <c r="G164" s="169"/>
      <c r="H164" s="169"/>
      <c r="I164" s="169"/>
      <c r="J164" s="169"/>
      <c r="K164" s="169"/>
      <c r="L164" s="169"/>
      <c r="M164" s="169"/>
      <c r="N164" s="170"/>
      <c r="O164" s="169"/>
      <c r="P164" s="172"/>
    </row>
    <row r="165" spans="1:256" ht="15.6" x14ac:dyDescent="0.3">
      <c r="A165" s="6"/>
      <c r="B165" s="114" t="s">
        <v>55</v>
      </c>
      <c r="C165" s="112"/>
      <c r="D165" s="115"/>
      <c r="E165" s="115"/>
      <c r="F165" s="115"/>
      <c r="G165" s="115"/>
      <c r="H165" s="115"/>
      <c r="I165" s="115"/>
      <c r="J165" s="115"/>
      <c r="K165" s="115" t="s">
        <v>98</v>
      </c>
      <c r="L165" s="115" t="s">
        <v>226</v>
      </c>
      <c r="M165" s="106"/>
      <c r="N165" s="116" t="s">
        <v>114</v>
      </c>
      <c r="O165" s="10"/>
      <c r="P165" s="5"/>
    </row>
    <row r="166" spans="1:256" ht="15.6" x14ac:dyDescent="0.3">
      <c r="A166" s="24"/>
      <c r="B166" s="25" t="s">
        <v>56</v>
      </c>
      <c r="C166" s="25"/>
      <c r="D166" s="25"/>
      <c r="E166" s="25"/>
      <c r="F166" s="25"/>
      <c r="G166" s="25"/>
      <c r="H166" s="25"/>
      <c r="I166" s="25"/>
      <c r="J166" s="25"/>
      <c r="K166" s="52" t="s">
        <v>117</v>
      </c>
      <c r="L166" s="40" t="s">
        <v>117</v>
      </c>
      <c r="M166" s="25"/>
      <c r="N166" s="52"/>
      <c r="O166" s="25"/>
      <c r="P166" s="5"/>
    </row>
    <row r="167" spans="1:256" ht="15.6" x14ac:dyDescent="0.3">
      <c r="A167" s="24"/>
      <c r="B167" s="25" t="s">
        <v>57</v>
      </c>
      <c r="C167" s="25"/>
      <c r="D167" s="25"/>
      <c r="E167" s="25"/>
      <c r="F167" s="25"/>
      <c r="G167" s="25"/>
      <c r="H167" s="25"/>
      <c r="I167" s="25"/>
      <c r="J167" s="25"/>
      <c r="K167" s="52">
        <v>0</v>
      </c>
      <c r="L167" s="52">
        <f>+'Aug 08'!L169</f>
        <v>7231</v>
      </c>
      <c r="M167" s="25"/>
      <c r="N167" s="52">
        <f>K167+L167</f>
        <v>7231</v>
      </c>
      <c r="O167" s="25"/>
      <c r="P167" s="5"/>
    </row>
    <row r="168" spans="1:256" ht="15.6" x14ac:dyDescent="0.3">
      <c r="A168" s="24"/>
      <c r="B168" s="25" t="s">
        <v>58</v>
      </c>
      <c r="C168" s="25"/>
      <c r="D168" s="25"/>
      <c r="E168" s="25"/>
      <c r="F168" s="25"/>
      <c r="G168" s="25"/>
      <c r="H168" s="25"/>
      <c r="I168" s="25"/>
      <c r="J168" s="25"/>
      <c r="K168" s="34">
        <v>0</v>
      </c>
      <c r="L168" s="34">
        <f>-L108</f>
        <v>603</v>
      </c>
      <c r="M168" s="25"/>
      <c r="N168" s="52">
        <f>K168+L168</f>
        <v>603</v>
      </c>
      <c r="O168" s="25"/>
      <c r="P168" s="5"/>
    </row>
    <row r="169" spans="1:256" ht="15.6" x14ac:dyDescent="0.3">
      <c r="A169" s="24"/>
      <c r="B169" s="25" t="s">
        <v>59</v>
      </c>
      <c r="C169" s="25"/>
      <c r="D169" s="25"/>
      <c r="E169" s="25"/>
      <c r="F169" s="25"/>
      <c r="G169" s="25"/>
      <c r="H169" s="25"/>
      <c r="I169" s="25"/>
      <c r="J169" s="25"/>
      <c r="K169" s="52">
        <f>K167+K168</f>
        <v>0</v>
      </c>
      <c r="L169" s="52">
        <f>L168+L167</f>
        <v>7834</v>
      </c>
      <c r="M169" s="25"/>
      <c r="N169" s="52">
        <f>K169+L169</f>
        <v>7834</v>
      </c>
      <c r="O169" s="25"/>
      <c r="P169" s="5"/>
    </row>
    <row r="170" spans="1:256" ht="15.6" x14ac:dyDescent="0.3">
      <c r="A170" s="24"/>
      <c r="B170" s="25" t="s">
        <v>60</v>
      </c>
      <c r="C170" s="25"/>
      <c r="D170" s="25"/>
      <c r="E170" s="25"/>
      <c r="F170" s="25"/>
      <c r="G170" s="25"/>
      <c r="H170" s="25"/>
      <c r="I170" s="25"/>
      <c r="J170" s="25"/>
      <c r="K170" s="52" t="s">
        <v>117</v>
      </c>
      <c r="L170" s="40" t="s">
        <v>117</v>
      </c>
      <c r="M170" s="25"/>
      <c r="N170" s="52"/>
      <c r="O170" s="25"/>
      <c r="P170" s="5"/>
    </row>
    <row r="171" spans="1:256" ht="16.2" thickBot="1" x14ac:dyDescent="0.35">
      <c r="A171" s="24"/>
      <c r="B171" s="25"/>
      <c r="C171" s="25"/>
      <c r="D171" s="25"/>
      <c r="E171" s="25"/>
      <c r="F171" s="25"/>
      <c r="G171" s="25"/>
      <c r="H171" s="25"/>
      <c r="I171" s="25"/>
      <c r="J171" s="25"/>
      <c r="K171" s="25"/>
      <c r="L171" s="25"/>
      <c r="M171" s="25"/>
      <c r="N171" s="59"/>
      <c r="O171" s="25"/>
      <c r="P171" s="5"/>
    </row>
    <row r="172" spans="1:256" ht="15.6" x14ac:dyDescent="0.3">
      <c r="A172" s="2"/>
      <c r="B172" s="4"/>
      <c r="C172" s="4"/>
      <c r="D172" s="4"/>
      <c r="E172" s="4"/>
      <c r="F172" s="4"/>
      <c r="G172" s="4"/>
      <c r="H172" s="4"/>
      <c r="I172" s="4"/>
      <c r="J172" s="4"/>
      <c r="K172" s="4"/>
      <c r="L172" s="4"/>
      <c r="M172" s="4"/>
      <c r="N172" s="49"/>
      <c r="O172" s="4"/>
      <c r="P172" s="5"/>
    </row>
    <row r="173" spans="1:256" ht="15.6" x14ac:dyDescent="0.3">
      <c r="A173" s="6"/>
      <c r="B173" s="114" t="s">
        <v>61</v>
      </c>
      <c r="C173" s="8"/>
      <c r="D173" s="8"/>
      <c r="E173" s="8"/>
      <c r="F173" s="8"/>
      <c r="G173" s="8"/>
      <c r="H173" s="8"/>
      <c r="I173" s="8"/>
      <c r="J173" s="8"/>
      <c r="K173" s="8"/>
      <c r="L173" s="8"/>
      <c r="M173" s="8"/>
      <c r="N173" s="63"/>
      <c r="O173" s="8"/>
      <c r="P173" s="5"/>
    </row>
    <row r="174" spans="1:256" ht="15.6" x14ac:dyDescent="0.3">
      <c r="A174" s="24"/>
      <c r="B174" s="25" t="s">
        <v>62</v>
      </c>
      <c r="C174" s="25"/>
      <c r="D174" s="25"/>
      <c r="E174" s="25"/>
      <c r="F174" s="25"/>
      <c r="G174" s="25"/>
      <c r="H174" s="25"/>
      <c r="I174" s="25"/>
      <c r="J174" s="25"/>
      <c r="K174" s="25"/>
      <c r="L174" s="25"/>
      <c r="M174" s="25"/>
      <c r="N174" s="57">
        <f>(N88+N90+N91+N92+N93)/-N94</f>
        <v>1.4451410658307211</v>
      </c>
      <c r="O174" s="25" t="s">
        <v>115</v>
      </c>
      <c r="P174" s="5"/>
    </row>
    <row r="175" spans="1:256" ht="15.6" x14ac:dyDescent="0.3">
      <c r="A175" s="24"/>
      <c r="B175" s="25" t="s">
        <v>63</v>
      </c>
      <c r="C175" s="25"/>
      <c r="D175" s="25"/>
      <c r="E175" s="25"/>
      <c r="F175" s="25"/>
      <c r="G175" s="25"/>
      <c r="H175" s="25"/>
      <c r="I175" s="25"/>
      <c r="J175" s="25"/>
      <c r="K175" s="25"/>
      <c r="L175" s="25"/>
      <c r="M175" s="25"/>
      <c r="N175" s="64">
        <v>1.39</v>
      </c>
      <c r="O175" s="25" t="s">
        <v>115</v>
      </c>
      <c r="P175" s="5"/>
    </row>
    <row r="176" spans="1:256" ht="15.6" x14ac:dyDescent="0.3">
      <c r="A176" s="24"/>
      <c r="B176" s="25" t="s">
        <v>64</v>
      </c>
      <c r="C176" s="25"/>
      <c r="D176" s="25"/>
      <c r="E176" s="25"/>
      <c r="F176" s="25"/>
      <c r="G176" s="25"/>
      <c r="H176" s="25"/>
      <c r="I176" s="25"/>
      <c r="J176" s="25"/>
      <c r="K176" s="25"/>
      <c r="L176" s="25"/>
      <c r="M176" s="25"/>
      <c r="N176" s="57">
        <f>(N88+N90+N91+N92+N93+N94)/-N96</f>
        <v>16.847457627118644</v>
      </c>
      <c r="O176" s="25" t="s">
        <v>115</v>
      </c>
      <c r="P176" s="5"/>
    </row>
    <row r="177" spans="1:16" ht="15.6" x14ac:dyDescent="0.3">
      <c r="A177" s="24"/>
      <c r="B177" s="25" t="s">
        <v>65</v>
      </c>
      <c r="C177" s="25"/>
      <c r="D177" s="25"/>
      <c r="E177" s="25"/>
      <c r="F177" s="25"/>
      <c r="G177" s="25"/>
      <c r="H177" s="25"/>
      <c r="I177" s="25"/>
      <c r="J177" s="25"/>
      <c r="K177" s="25"/>
      <c r="L177" s="25"/>
      <c r="M177" s="25"/>
      <c r="N177" s="64">
        <v>19.04</v>
      </c>
      <c r="O177" s="25" t="s">
        <v>115</v>
      </c>
      <c r="P177" s="5"/>
    </row>
    <row r="178" spans="1:16" ht="15.6" x14ac:dyDescent="0.3">
      <c r="A178" s="24"/>
      <c r="B178" s="25" t="s">
        <v>166</v>
      </c>
      <c r="C178" s="25"/>
      <c r="D178" s="25"/>
      <c r="E178" s="25"/>
      <c r="F178" s="25"/>
      <c r="G178" s="25"/>
      <c r="H178" s="25"/>
      <c r="I178" s="25"/>
      <c r="J178" s="25"/>
      <c r="K178" s="25"/>
      <c r="L178" s="25"/>
      <c r="M178" s="25"/>
      <c r="N178" s="57">
        <f>(N88+N90+N91+N92+N93+N94+N96)/-N97</f>
        <v>15.327868852459016</v>
      </c>
      <c r="O178" s="25" t="s">
        <v>115</v>
      </c>
      <c r="P178" s="5"/>
    </row>
    <row r="179" spans="1:16" ht="15.6" x14ac:dyDescent="0.3">
      <c r="A179" s="24"/>
      <c r="B179" s="25" t="s">
        <v>167</v>
      </c>
      <c r="C179" s="25"/>
      <c r="D179" s="25"/>
      <c r="E179" s="25"/>
      <c r="F179" s="25"/>
      <c r="G179" s="25"/>
      <c r="H179" s="25"/>
      <c r="I179" s="25"/>
      <c r="J179" s="25"/>
      <c r="K179" s="25"/>
      <c r="L179" s="25"/>
      <c r="M179" s="25"/>
      <c r="N179" s="64">
        <v>17.71</v>
      </c>
      <c r="O179" s="25" t="s">
        <v>115</v>
      </c>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24"/>
      <c r="B181" s="25"/>
      <c r="C181" s="25"/>
      <c r="D181" s="25"/>
      <c r="E181" s="25"/>
      <c r="F181" s="25"/>
      <c r="G181" s="25"/>
      <c r="H181" s="25"/>
      <c r="I181" s="25"/>
      <c r="J181" s="25"/>
      <c r="K181" s="25"/>
      <c r="L181" s="25"/>
      <c r="M181" s="25"/>
      <c r="N181" s="25"/>
      <c r="O181" s="25"/>
      <c r="P181" s="5"/>
    </row>
    <row r="182" spans="1:16" ht="15.6" x14ac:dyDescent="0.3">
      <c r="A182" s="6"/>
      <c r="B182" s="8"/>
      <c r="C182" s="8"/>
      <c r="D182" s="8"/>
      <c r="E182" s="8"/>
      <c r="F182" s="8"/>
      <c r="G182" s="8"/>
      <c r="H182" s="8"/>
      <c r="I182" s="8"/>
      <c r="J182" s="8"/>
      <c r="K182" s="8"/>
      <c r="L182" s="8"/>
      <c r="M182" s="8"/>
      <c r="N182" s="8"/>
      <c r="O182" s="8"/>
      <c r="P182" s="5"/>
    </row>
    <row r="183" spans="1:16" ht="18" thickBot="1" x14ac:dyDescent="0.35">
      <c r="A183" s="96"/>
      <c r="B183" s="97" t="str">
        <f>B116</f>
        <v>FF7 INVESTOR REPORT QUARTER ENDING NOVEMBER 2008</v>
      </c>
      <c r="C183" s="177"/>
      <c r="D183" s="177"/>
      <c r="E183" s="177"/>
      <c r="F183" s="177"/>
      <c r="G183" s="177"/>
      <c r="H183" s="177"/>
      <c r="I183" s="177"/>
      <c r="J183" s="177"/>
      <c r="K183" s="177"/>
      <c r="L183" s="177"/>
      <c r="M183" s="177"/>
      <c r="N183" s="177"/>
      <c r="O183" s="178"/>
      <c r="P183" s="5"/>
    </row>
    <row r="184" spans="1:16" ht="15.6" x14ac:dyDescent="0.3">
      <c r="A184" s="65"/>
      <c r="B184" s="58" t="s">
        <v>66</v>
      </c>
      <c r="C184" s="66"/>
      <c r="D184" s="67"/>
      <c r="E184" s="67"/>
      <c r="F184" s="67"/>
      <c r="G184" s="67"/>
      <c r="H184" s="67"/>
      <c r="I184" s="67"/>
      <c r="J184" s="67"/>
      <c r="K184" s="67"/>
      <c r="L184" s="68">
        <v>39780</v>
      </c>
      <c r="M184" s="4"/>
      <c r="N184" s="4"/>
      <c r="O184" s="4"/>
      <c r="P184" s="5"/>
    </row>
    <row r="185" spans="1:16" ht="15.6" x14ac:dyDescent="0.3">
      <c r="A185" s="69"/>
      <c r="B185" s="70"/>
      <c r="C185" s="71"/>
      <c r="D185" s="72"/>
      <c r="E185" s="72"/>
      <c r="F185" s="72"/>
      <c r="G185" s="72"/>
      <c r="H185" s="72"/>
      <c r="I185" s="72"/>
      <c r="J185" s="72"/>
      <c r="K185" s="72"/>
      <c r="L185" s="72"/>
      <c r="M185" s="8"/>
      <c r="N185" s="8"/>
      <c r="O185" s="8"/>
      <c r="P185" s="5"/>
    </row>
    <row r="186" spans="1:16" ht="15.6" x14ac:dyDescent="0.3">
      <c r="A186" s="73"/>
      <c r="B186" s="74" t="s">
        <v>67</v>
      </c>
      <c r="C186" s="75"/>
      <c r="D186" s="62"/>
      <c r="E186" s="62"/>
      <c r="F186" s="62"/>
      <c r="G186" s="62"/>
      <c r="H186" s="62"/>
      <c r="I186" s="62"/>
      <c r="J186" s="62"/>
      <c r="K186" s="62"/>
      <c r="L186" s="76">
        <v>7.2950000000000001E-2</v>
      </c>
      <c r="M186" s="25"/>
      <c r="N186" s="25"/>
      <c r="O186" s="25"/>
      <c r="P186" s="5"/>
    </row>
    <row r="187" spans="1:16" ht="15.6" x14ac:dyDescent="0.3">
      <c r="A187" s="73"/>
      <c r="B187" s="74" t="s">
        <v>213</v>
      </c>
      <c r="C187" s="75"/>
      <c r="D187" s="62"/>
      <c r="E187" s="62"/>
      <c r="F187" s="62"/>
      <c r="G187" s="62"/>
      <c r="H187" s="62"/>
      <c r="I187" s="62"/>
      <c r="J187" s="62"/>
      <c r="K187" s="62"/>
      <c r="L187" s="39">
        <v>5.79E-2</v>
      </c>
      <c r="M187" s="25"/>
      <c r="N187" s="25"/>
      <c r="O187" s="25"/>
      <c r="P187" s="5"/>
    </row>
    <row r="188" spans="1:16" ht="15.6" x14ac:dyDescent="0.3">
      <c r="A188" s="73"/>
      <c r="B188" s="74" t="s">
        <v>68</v>
      </c>
      <c r="C188" s="75"/>
      <c r="D188" s="62"/>
      <c r="E188" s="62"/>
      <c r="F188" s="62"/>
      <c r="G188" s="62"/>
      <c r="H188" s="62"/>
      <c r="I188" s="62"/>
      <c r="J188" s="62"/>
      <c r="K188" s="62"/>
      <c r="L188" s="76">
        <f>L186-L187</f>
        <v>1.5050000000000001E-2</v>
      </c>
      <c r="M188" s="25"/>
      <c r="N188" s="25"/>
      <c r="O188" s="25"/>
      <c r="P188" s="5"/>
    </row>
    <row r="189" spans="1:16" ht="15.6" x14ac:dyDescent="0.3">
      <c r="A189" s="73"/>
      <c r="B189" s="74" t="s">
        <v>69</v>
      </c>
      <c r="C189" s="75"/>
      <c r="D189" s="62"/>
      <c r="E189" s="62"/>
      <c r="F189" s="62"/>
      <c r="G189" s="62"/>
      <c r="H189" s="62"/>
      <c r="I189" s="62"/>
      <c r="J189" s="62"/>
      <c r="K189" s="62"/>
      <c r="L189" s="76">
        <v>7.7270000000000005E-2</v>
      </c>
      <c r="M189" s="25"/>
      <c r="N189" s="25"/>
      <c r="O189" s="25"/>
      <c r="P189" s="5"/>
    </row>
    <row r="190" spans="1:16" ht="15.6" x14ac:dyDescent="0.3">
      <c r="A190" s="73"/>
      <c r="B190" s="74" t="s">
        <v>212</v>
      </c>
      <c r="C190" s="75"/>
      <c r="D190" s="62"/>
      <c r="E190" s="62"/>
      <c r="F190" s="62"/>
      <c r="G190" s="62"/>
      <c r="H190" s="62"/>
      <c r="I190" s="62"/>
      <c r="J190" s="62"/>
      <c r="K190" s="62"/>
      <c r="L190" s="76">
        <f>N34</f>
        <v>5.840512753991161E-2</v>
      </c>
      <c r="M190" s="25"/>
      <c r="N190" s="25"/>
      <c r="O190" s="25"/>
      <c r="P190" s="5"/>
    </row>
    <row r="191" spans="1:16" ht="15.6" x14ac:dyDescent="0.3">
      <c r="A191" s="73"/>
      <c r="B191" s="74" t="s">
        <v>70</v>
      </c>
      <c r="C191" s="75"/>
      <c r="D191" s="62"/>
      <c r="E191" s="62"/>
      <c r="F191" s="62"/>
      <c r="G191" s="62"/>
      <c r="H191" s="62"/>
      <c r="I191" s="62"/>
      <c r="J191" s="62"/>
      <c r="K191" s="62"/>
      <c r="L191" s="76">
        <f>L189-L190</f>
        <v>1.8864872460088396E-2</v>
      </c>
      <c r="M191" s="25"/>
      <c r="N191" s="25"/>
      <c r="O191" s="25"/>
      <c r="P191" s="5"/>
    </row>
    <row r="192" spans="1:16" ht="15.6" x14ac:dyDescent="0.3">
      <c r="A192" s="73"/>
      <c r="B192" s="74" t="s">
        <v>203</v>
      </c>
      <c r="C192" s="75"/>
      <c r="D192" s="62"/>
      <c r="E192" s="62"/>
      <c r="F192" s="62"/>
      <c r="G192" s="62"/>
      <c r="H192" s="62"/>
      <c r="I192" s="62"/>
      <c r="J192" s="62"/>
      <c r="K192" s="62"/>
      <c r="L192" s="76">
        <f>+N88/F60</f>
        <v>2.0368771583621114E-2</v>
      </c>
      <c r="M192" s="25"/>
      <c r="N192" s="25"/>
      <c r="O192" s="25"/>
      <c r="P192" s="5"/>
    </row>
    <row r="193" spans="1:16" ht="15.6" x14ac:dyDescent="0.3">
      <c r="A193" s="73"/>
      <c r="B193" s="74" t="s">
        <v>171</v>
      </c>
      <c r="C193" s="75"/>
      <c r="D193" s="62"/>
      <c r="E193" s="62"/>
      <c r="F193" s="62"/>
      <c r="G193" s="62"/>
      <c r="H193" s="62"/>
      <c r="I193" s="62"/>
      <c r="J193" s="62"/>
      <c r="K193" s="62"/>
      <c r="L193" s="122">
        <v>48823</v>
      </c>
      <c r="M193" s="25"/>
      <c r="N193" s="25"/>
      <c r="O193" s="25"/>
      <c r="P193" s="5"/>
    </row>
    <row r="194" spans="1:16" ht="15.6" x14ac:dyDescent="0.3">
      <c r="A194" s="73"/>
      <c r="B194" s="74" t="s">
        <v>172</v>
      </c>
      <c r="C194" s="75"/>
      <c r="D194" s="62"/>
      <c r="E194" s="62"/>
      <c r="F194" s="62"/>
      <c r="G194" s="62"/>
      <c r="H194" s="62"/>
      <c r="I194" s="62"/>
      <c r="J194" s="62"/>
      <c r="K194" s="62"/>
      <c r="L194" s="122">
        <v>48823</v>
      </c>
      <c r="M194" s="25"/>
      <c r="N194" s="25"/>
      <c r="O194" s="25"/>
      <c r="P194" s="5"/>
    </row>
    <row r="195" spans="1:16" ht="15.6" x14ac:dyDescent="0.3">
      <c r="A195" s="73"/>
      <c r="B195" s="74" t="s">
        <v>173</v>
      </c>
      <c r="C195" s="75"/>
      <c r="D195" s="62"/>
      <c r="E195" s="62"/>
      <c r="F195" s="62"/>
      <c r="G195" s="62"/>
      <c r="H195" s="62"/>
      <c r="I195" s="62"/>
      <c r="J195" s="62"/>
      <c r="K195" s="62"/>
      <c r="L195" s="122">
        <v>48823</v>
      </c>
      <c r="M195" s="25"/>
      <c r="N195" s="25"/>
      <c r="O195" s="25"/>
      <c r="P195" s="5"/>
    </row>
    <row r="196" spans="1:16" ht="15.6" x14ac:dyDescent="0.3">
      <c r="A196" s="73"/>
      <c r="B196" s="74" t="s">
        <v>71</v>
      </c>
      <c r="C196" s="75"/>
      <c r="D196" s="62"/>
      <c r="E196" s="62"/>
      <c r="F196" s="62"/>
      <c r="G196" s="62"/>
      <c r="H196" s="62"/>
      <c r="I196" s="62"/>
      <c r="J196" s="62"/>
      <c r="K196" s="62"/>
      <c r="L196" s="126">
        <v>9.93</v>
      </c>
      <c r="M196" s="25" t="s">
        <v>110</v>
      </c>
      <c r="N196" s="25"/>
      <c r="O196" s="25"/>
      <c r="P196" s="5"/>
    </row>
    <row r="197" spans="1:16" ht="15.6" x14ac:dyDescent="0.3">
      <c r="A197" s="73"/>
      <c r="B197" s="74" t="s">
        <v>72</v>
      </c>
      <c r="C197" s="75"/>
      <c r="D197" s="62"/>
      <c r="E197" s="62"/>
      <c r="F197" s="62"/>
      <c r="G197" s="62"/>
      <c r="H197" s="62"/>
      <c r="I197" s="62"/>
      <c r="J197" s="62"/>
      <c r="K197" s="62"/>
      <c r="L197" s="126">
        <v>7.8</v>
      </c>
      <c r="M197" s="25" t="s">
        <v>110</v>
      </c>
      <c r="N197" s="25"/>
      <c r="O197" s="25"/>
      <c r="P197" s="5"/>
    </row>
    <row r="198" spans="1:16" ht="15.6" x14ac:dyDescent="0.3">
      <c r="A198" s="73"/>
      <c r="B198" s="74" t="s">
        <v>73</v>
      </c>
      <c r="C198" s="75"/>
      <c r="D198" s="62"/>
      <c r="E198" s="62"/>
      <c r="F198" s="62"/>
      <c r="G198" s="62"/>
      <c r="H198" s="62"/>
      <c r="I198" s="62"/>
      <c r="J198" s="62"/>
      <c r="K198" s="62"/>
      <c r="L198" s="76">
        <f>+H57/F57</f>
        <v>6.852900232018562E-2</v>
      </c>
      <c r="M198" s="25"/>
      <c r="N198" s="25"/>
      <c r="O198" s="25"/>
      <c r="P198" s="5"/>
    </row>
    <row r="199" spans="1:16" ht="15.6" x14ac:dyDescent="0.3">
      <c r="A199" s="73"/>
      <c r="B199" s="74" t="s">
        <v>74</v>
      </c>
      <c r="C199" s="75"/>
      <c r="D199" s="62"/>
      <c r="E199" s="62"/>
      <c r="F199" s="62"/>
      <c r="G199" s="62"/>
      <c r="H199" s="62"/>
      <c r="I199" s="62"/>
      <c r="J199" s="62"/>
      <c r="K199" s="62"/>
      <c r="L199" s="76">
        <v>0.32129999999999997</v>
      </c>
      <c r="M199" s="25"/>
      <c r="N199" s="25"/>
      <c r="O199" s="25"/>
      <c r="P199" s="5"/>
    </row>
    <row r="200" spans="1:16" ht="15.6" x14ac:dyDescent="0.3">
      <c r="A200" s="73"/>
      <c r="B200" s="74"/>
      <c r="C200" s="74"/>
      <c r="D200" s="25"/>
      <c r="E200" s="25"/>
      <c r="F200" s="25"/>
      <c r="G200" s="25"/>
      <c r="H200" s="25"/>
      <c r="I200" s="25"/>
      <c r="J200" s="25"/>
      <c r="K200" s="25"/>
      <c r="L200" s="59"/>
      <c r="M200" s="25"/>
      <c r="N200" s="77"/>
      <c r="O200" s="25"/>
      <c r="P200" s="5"/>
    </row>
    <row r="201" spans="1:16" ht="15.6" x14ac:dyDescent="0.3">
      <c r="A201" s="78"/>
      <c r="B201" s="14" t="s">
        <v>75</v>
      </c>
      <c r="C201" s="79"/>
      <c r="D201" s="17"/>
      <c r="E201" s="17"/>
      <c r="F201" s="17"/>
      <c r="G201" s="17"/>
      <c r="H201" s="17"/>
      <c r="I201" s="17"/>
      <c r="J201" s="17"/>
      <c r="K201" s="17" t="s">
        <v>99</v>
      </c>
      <c r="L201" s="80" t="s">
        <v>106</v>
      </c>
      <c r="M201" s="8"/>
      <c r="N201" s="8"/>
      <c r="O201" s="8"/>
      <c r="P201" s="5"/>
    </row>
    <row r="202" spans="1:16" ht="15.6" x14ac:dyDescent="0.3">
      <c r="A202" s="81"/>
      <c r="B202" s="74" t="s">
        <v>76</v>
      </c>
      <c r="C202" s="53"/>
      <c r="D202" s="30"/>
      <c r="E202" s="30"/>
      <c r="F202" s="30"/>
      <c r="G202" s="30"/>
      <c r="H202" s="30"/>
      <c r="I202" s="30"/>
      <c r="J202" s="30"/>
      <c r="K202" s="30">
        <v>19</v>
      </c>
      <c r="L202" s="82">
        <v>2051</v>
      </c>
      <c r="M202" s="25"/>
      <c r="N202" s="77"/>
      <c r="O202" s="83"/>
      <c r="P202" s="5"/>
    </row>
    <row r="203" spans="1:16" ht="15.6" x14ac:dyDescent="0.3">
      <c r="A203" s="81"/>
      <c r="B203" s="74" t="s">
        <v>136</v>
      </c>
      <c r="C203" s="53"/>
      <c r="D203" s="30"/>
      <c r="E203" s="30"/>
      <c r="F203" s="30"/>
      <c r="G203" s="30"/>
      <c r="H203" s="30"/>
      <c r="I203" s="30"/>
      <c r="J203" s="30"/>
      <c r="K203" s="142">
        <f>+J253</f>
        <v>0</v>
      </c>
      <c r="L203" s="82">
        <f>+L253</f>
        <v>0</v>
      </c>
      <c r="M203" s="25"/>
      <c r="N203" s="77"/>
      <c r="O203" s="83"/>
      <c r="P203" s="5"/>
    </row>
    <row r="204" spans="1:16" ht="15.6" x14ac:dyDescent="0.3">
      <c r="A204" s="81"/>
      <c r="B204" s="74" t="s">
        <v>77</v>
      </c>
      <c r="C204" s="53"/>
      <c r="D204" s="30"/>
      <c r="E204" s="30"/>
      <c r="F204" s="30"/>
      <c r="G204" s="30"/>
      <c r="H204" s="30"/>
      <c r="I204" s="30"/>
      <c r="J204" s="30"/>
      <c r="K204" s="142">
        <f>+J270</f>
        <v>0</v>
      </c>
      <c r="L204" s="82">
        <f>+L270</f>
        <v>0</v>
      </c>
      <c r="M204" s="25"/>
      <c r="N204" s="77"/>
      <c r="O204" s="83"/>
      <c r="P204" s="5"/>
    </row>
    <row r="205" spans="1:16" ht="15.6" x14ac:dyDescent="0.3">
      <c r="A205" s="81"/>
      <c r="B205" s="117" t="s">
        <v>78</v>
      </c>
      <c r="C205" s="53"/>
      <c r="D205" s="25"/>
      <c r="E205" s="25"/>
      <c r="F205" s="25"/>
      <c r="G205" s="25"/>
      <c r="H205" s="25"/>
      <c r="I205" s="25"/>
      <c r="J205" s="25"/>
      <c r="K205" s="25"/>
      <c r="L205" s="82">
        <v>0</v>
      </c>
      <c r="M205" s="25"/>
      <c r="N205" s="77"/>
      <c r="O205" s="83"/>
      <c r="P205" s="5"/>
    </row>
    <row r="206" spans="1:16" ht="15.6" x14ac:dyDescent="0.3">
      <c r="A206" s="81"/>
      <c r="B206" s="117" t="s">
        <v>79</v>
      </c>
      <c r="C206" s="53"/>
      <c r="D206" s="25"/>
      <c r="E206" s="25"/>
      <c r="F206" s="25"/>
      <c r="G206" s="25"/>
      <c r="H206" s="25"/>
      <c r="I206" s="25"/>
      <c r="J206" s="25"/>
      <c r="K206" s="25"/>
      <c r="L206" s="60" t="s">
        <v>107</v>
      </c>
      <c r="M206" s="25"/>
      <c r="N206" s="77"/>
      <c r="O206" s="83"/>
      <c r="P206" s="5"/>
    </row>
    <row r="207" spans="1:16" ht="15.6" x14ac:dyDescent="0.3">
      <c r="A207" s="84"/>
      <c r="B207" s="117" t="s">
        <v>80</v>
      </c>
      <c r="C207" s="74"/>
      <c r="D207" s="25"/>
      <c r="E207" s="25"/>
      <c r="F207" s="25"/>
      <c r="G207" s="25"/>
      <c r="H207" s="25"/>
      <c r="I207" s="25"/>
      <c r="J207" s="25"/>
      <c r="K207" s="25"/>
      <c r="L207" s="82"/>
      <c r="M207" s="25"/>
      <c r="N207" s="77"/>
      <c r="O207" s="85"/>
      <c r="P207" s="5"/>
    </row>
    <row r="208" spans="1:16" ht="15.6" x14ac:dyDescent="0.3">
      <c r="A208" s="84"/>
      <c r="B208" s="124" t="s">
        <v>81</v>
      </c>
      <c r="C208" s="74"/>
      <c r="D208" s="25"/>
      <c r="E208" s="25"/>
      <c r="F208" s="25"/>
      <c r="G208" s="25"/>
      <c r="H208" s="25"/>
      <c r="I208" s="25"/>
      <c r="J208" s="25"/>
      <c r="K208" s="30"/>
      <c r="L208" s="82">
        <f>N145</f>
        <v>14</v>
      </c>
      <c r="M208" s="25"/>
      <c r="N208" s="77"/>
      <c r="O208" s="85"/>
      <c r="P208" s="5"/>
    </row>
    <row r="209" spans="1:17" ht="15.6" x14ac:dyDescent="0.3">
      <c r="A209" s="81"/>
      <c r="B209" s="74" t="s">
        <v>82</v>
      </c>
      <c r="C209" s="53"/>
      <c r="D209" s="25"/>
      <c r="E209" s="25"/>
      <c r="F209" s="25"/>
      <c r="G209" s="25"/>
      <c r="H209" s="25"/>
      <c r="I209" s="25"/>
      <c r="J209" s="25"/>
      <c r="K209" s="30"/>
      <c r="L209" s="82">
        <f>'Aug 08'!L209+L208</f>
        <v>39</v>
      </c>
      <c r="M209" s="25"/>
      <c r="N209" s="77"/>
      <c r="O209" s="85"/>
      <c r="P209" s="5"/>
    </row>
    <row r="210" spans="1:17" ht="15.6" x14ac:dyDescent="0.3">
      <c r="A210" s="84"/>
      <c r="B210" s="117" t="s">
        <v>253</v>
      </c>
      <c r="C210" s="74"/>
      <c r="D210" s="25"/>
      <c r="E210" s="25"/>
      <c r="F210" s="25"/>
      <c r="G210" s="25"/>
      <c r="H210" s="25"/>
      <c r="I210" s="25"/>
      <c r="J210" s="25"/>
      <c r="K210" s="30"/>
      <c r="L210" s="82"/>
      <c r="M210" s="25"/>
      <c r="N210" s="77"/>
      <c r="O210" s="85"/>
      <c r="P210" s="5"/>
    </row>
    <row r="211" spans="1:17" ht="15.6" x14ac:dyDescent="0.3">
      <c r="A211" s="84"/>
      <c r="B211" s="74" t="s">
        <v>250</v>
      </c>
      <c r="C211" s="74"/>
      <c r="D211" s="25"/>
      <c r="E211" s="25"/>
      <c r="F211" s="25"/>
      <c r="G211" s="25"/>
      <c r="H211" s="25"/>
      <c r="I211" s="25"/>
      <c r="J211" s="25"/>
      <c r="K211" s="30">
        <v>0</v>
      </c>
      <c r="L211" s="82">
        <v>0</v>
      </c>
      <c r="M211" s="25"/>
      <c r="N211" s="77"/>
      <c r="O211" s="85"/>
      <c r="P211" s="5"/>
    </row>
    <row r="212" spans="1:17" ht="15.6" x14ac:dyDescent="0.3">
      <c r="A212" s="81"/>
      <c r="B212" s="74" t="s">
        <v>83</v>
      </c>
      <c r="C212" s="86"/>
      <c r="D212" s="25"/>
      <c r="E212" s="25"/>
      <c r="F212" s="25"/>
      <c r="G212" s="25"/>
      <c r="H212" s="25"/>
      <c r="I212" s="25"/>
      <c r="J212" s="25"/>
      <c r="K212" s="25"/>
      <c r="L212" s="60">
        <v>0</v>
      </c>
      <c r="M212" s="25"/>
      <c r="N212" s="77"/>
      <c r="O212" s="85"/>
      <c r="P212" s="5"/>
    </row>
    <row r="213" spans="1:17" ht="15.6" x14ac:dyDescent="0.3">
      <c r="A213" s="81"/>
      <c r="B213" s="74" t="s">
        <v>84</v>
      </c>
      <c r="C213" s="86"/>
      <c r="D213" s="25"/>
      <c r="E213" s="25"/>
      <c r="F213" s="25"/>
      <c r="G213" s="25"/>
      <c r="H213" s="25"/>
      <c r="I213" s="25"/>
      <c r="J213" s="25"/>
      <c r="K213" s="25"/>
      <c r="L213" s="60">
        <v>0</v>
      </c>
      <c r="M213" s="25"/>
      <c r="N213" s="77"/>
      <c r="O213" s="85"/>
      <c r="P213" s="5"/>
    </row>
    <row r="214" spans="1:17" ht="15.6" x14ac:dyDescent="0.3">
      <c r="A214" s="81"/>
      <c r="B214" s="117" t="s">
        <v>177</v>
      </c>
      <c r="C214" s="86"/>
      <c r="D214" s="25"/>
      <c r="E214" s="25"/>
      <c r="F214" s="25"/>
      <c r="G214" s="25"/>
      <c r="H214" s="25"/>
      <c r="I214" s="25"/>
      <c r="J214" s="25"/>
      <c r="K214" s="25"/>
      <c r="L214" s="87"/>
      <c r="M214" s="25"/>
      <c r="N214" s="77"/>
      <c r="O214" s="85"/>
      <c r="P214" s="5"/>
    </row>
    <row r="215" spans="1:17" ht="15.6" x14ac:dyDescent="0.3">
      <c r="A215" s="81"/>
      <c r="B215" s="74" t="s">
        <v>250</v>
      </c>
      <c r="C215" s="86"/>
      <c r="D215" s="25"/>
      <c r="E215" s="25"/>
      <c r="F215" s="25"/>
      <c r="G215" s="25"/>
      <c r="H215" s="25"/>
      <c r="I215" s="25"/>
      <c r="J215" s="25"/>
      <c r="K215" s="30">
        <v>0</v>
      </c>
      <c r="L215" s="82">
        <v>0</v>
      </c>
      <c r="M215" s="25"/>
      <c r="N215" s="77"/>
      <c r="O215" s="85"/>
      <c r="P215" s="5"/>
    </row>
    <row r="216" spans="1:17" ht="15.6" x14ac:dyDescent="0.3">
      <c r="A216" s="81"/>
      <c r="B216" s="74" t="s">
        <v>178</v>
      </c>
      <c r="C216" s="86"/>
      <c r="D216" s="25"/>
      <c r="E216" s="25"/>
      <c r="F216" s="25"/>
      <c r="G216" s="25"/>
      <c r="H216" s="25"/>
      <c r="I216" s="25"/>
      <c r="J216" s="25"/>
      <c r="K216" s="25"/>
      <c r="L216" s="60">
        <v>0</v>
      </c>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5.6" x14ac:dyDescent="0.3">
      <c r="A218" s="81"/>
      <c r="B218" s="74"/>
      <c r="C218" s="86"/>
      <c r="D218" s="25"/>
      <c r="E218" s="25"/>
      <c r="F218" s="25"/>
      <c r="G218" s="25"/>
      <c r="H218" s="25"/>
      <c r="I218" s="25"/>
      <c r="J218" s="25"/>
      <c r="K218" s="25"/>
      <c r="L218" s="87"/>
      <c r="M218" s="25"/>
      <c r="N218" s="77"/>
      <c r="O218" s="85"/>
      <c r="P218" s="5"/>
    </row>
    <row r="219" spans="1:17" ht="17.399999999999999" x14ac:dyDescent="0.3">
      <c r="A219" s="81"/>
      <c r="B219" s="140" t="s">
        <v>238</v>
      </c>
      <c r="C219" s="86"/>
      <c r="D219" s="25"/>
      <c r="E219" s="25"/>
      <c r="F219" s="25"/>
      <c r="G219" s="25"/>
      <c r="H219" s="180" t="s">
        <v>237</v>
      </c>
      <c r="I219" s="25"/>
      <c r="J219" s="25"/>
      <c r="K219" s="25"/>
      <c r="L219" s="87"/>
      <c r="M219" s="25"/>
      <c r="N219" s="77"/>
      <c r="O219" s="85"/>
      <c r="P219" s="5"/>
    </row>
    <row r="220" spans="1:17" ht="15.6" x14ac:dyDescent="0.3">
      <c r="A220" s="81"/>
      <c r="B220" s="74"/>
      <c r="C220" s="86"/>
      <c r="D220" s="25"/>
      <c r="E220" s="25"/>
      <c r="F220" s="25"/>
      <c r="G220" s="25"/>
      <c r="H220" s="25"/>
      <c r="I220" s="25"/>
      <c r="J220" s="25"/>
      <c r="K220" s="25"/>
      <c r="L220" s="87"/>
      <c r="M220" s="25"/>
      <c r="N220" s="77"/>
      <c r="O220" s="85"/>
      <c r="P220" s="5"/>
    </row>
    <row r="221" spans="1:17" ht="15.6" x14ac:dyDescent="0.3">
      <c r="A221" s="6"/>
      <c r="B221" s="14" t="s">
        <v>149</v>
      </c>
      <c r="C221" s="79"/>
      <c r="D221" s="17"/>
      <c r="E221" s="17"/>
      <c r="F221" s="17"/>
      <c r="G221" s="17"/>
      <c r="H221" s="17"/>
      <c r="I221" s="17"/>
      <c r="J221" s="80" t="s">
        <v>99</v>
      </c>
      <c r="K221" s="17" t="s">
        <v>100</v>
      </c>
      <c r="L221" s="80" t="s">
        <v>108</v>
      </c>
      <c r="M221" s="17" t="s">
        <v>100</v>
      </c>
      <c r="N221" s="8"/>
      <c r="O221" s="88"/>
      <c r="P221" s="5"/>
    </row>
    <row r="222" spans="1:17" ht="15.6" x14ac:dyDescent="0.3">
      <c r="A222" s="24"/>
      <c r="B222" s="53" t="s">
        <v>85</v>
      </c>
      <c r="C222" s="89"/>
      <c r="D222" s="89"/>
      <c r="E222" s="89"/>
      <c r="F222" s="89"/>
      <c r="G222" s="89"/>
      <c r="H222" s="89"/>
      <c r="I222" s="89"/>
      <c r="J222" s="53">
        <v>3350</v>
      </c>
      <c r="K222" s="90">
        <f t="shared" ref="K222:K234" si="1">J222/$J$236</f>
        <v>0.92874965345162186</v>
      </c>
      <c r="L222" s="52">
        <v>137459</v>
      </c>
      <c r="M222" s="125">
        <f t="shared" ref="M222:M234" si="2">L222/$L$236</f>
        <v>0.8974804290909566</v>
      </c>
      <c r="N222" s="77"/>
      <c r="O222" s="85"/>
      <c r="P222" s="5"/>
    </row>
    <row r="223" spans="1:17" ht="15.6" x14ac:dyDescent="0.3">
      <c r="A223" s="24"/>
      <c r="B223" s="53" t="s">
        <v>86</v>
      </c>
      <c r="C223" s="89"/>
      <c r="D223" s="89"/>
      <c r="E223" s="89"/>
      <c r="F223" s="89"/>
      <c r="G223" s="89"/>
      <c r="H223" s="89"/>
      <c r="I223" s="89"/>
      <c r="J223" s="53">
        <v>110</v>
      </c>
      <c r="K223" s="90">
        <f t="shared" si="1"/>
        <v>3.049625727751594E-2</v>
      </c>
      <c r="L223" s="52">
        <v>5980</v>
      </c>
      <c r="M223" s="125">
        <f t="shared" si="2"/>
        <v>3.9043881928167094E-2</v>
      </c>
      <c r="N223" s="77"/>
      <c r="O223" s="85"/>
      <c r="P223" s="5"/>
      <c r="Q223" s="104"/>
    </row>
    <row r="224" spans="1:17" ht="15.6" x14ac:dyDescent="0.3">
      <c r="A224" s="24"/>
      <c r="B224" s="53" t="s">
        <v>87</v>
      </c>
      <c r="C224" s="89"/>
      <c r="D224" s="89"/>
      <c r="E224" s="89"/>
      <c r="F224" s="89"/>
      <c r="G224" s="89"/>
      <c r="H224" s="89"/>
      <c r="I224" s="89"/>
      <c r="J224" s="53">
        <v>51</v>
      </c>
      <c r="K224" s="90">
        <f t="shared" si="1"/>
        <v>1.4139173828666482E-2</v>
      </c>
      <c r="L224" s="52">
        <v>2795</v>
      </c>
      <c r="M224" s="125">
        <f t="shared" si="2"/>
        <v>1.8248770901208532E-2</v>
      </c>
      <c r="N224" s="77"/>
      <c r="O224" s="85"/>
      <c r="P224" s="5"/>
    </row>
    <row r="225" spans="1:17" ht="15.6" x14ac:dyDescent="0.3">
      <c r="A225" s="24"/>
      <c r="B225" s="53" t="s">
        <v>145</v>
      </c>
      <c r="C225" s="89"/>
      <c r="D225" s="89"/>
      <c r="E225" s="89"/>
      <c r="F225" s="89"/>
      <c r="G225" s="89"/>
      <c r="H225" s="89"/>
      <c r="I225" s="89"/>
      <c r="J225" s="53">
        <v>24</v>
      </c>
      <c r="K225" s="90">
        <f t="shared" si="1"/>
        <v>6.6537288605489327E-3</v>
      </c>
      <c r="L225" s="52">
        <v>1035</v>
      </c>
      <c r="M225" s="125">
        <f t="shared" si="2"/>
        <v>6.757594949105843E-3</v>
      </c>
      <c r="N225" s="77"/>
      <c r="O225" s="85"/>
      <c r="P225" s="5"/>
      <c r="Q225" s="104"/>
    </row>
    <row r="226" spans="1:17" ht="15.6" x14ac:dyDescent="0.3">
      <c r="A226" s="24"/>
      <c r="B226" s="53" t="s">
        <v>146</v>
      </c>
      <c r="C226" s="89"/>
      <c r="D226" s="89"/>
      <c r="E226" s="89"/>
      <c r="F226" s="89"/>
      <c r="G226" s="89"/>
      <c r="H226" s="89"/>
      <c r="I226" s="89"/>
      <c r="J226" s="53">
        <v>14</v>
      </c>
      <c r="K226" s="90">
        <f t="shared" si="1"/>
        <v>3.8813418353202105E-3</v>
      </c>
      <c r="L226" s="52">
        <v>851</v>
      </c>
      <c r="M226" s="125">
        <f t="shared" si="2"/>
        <v>5.5562447359314704E-3</v>
      </c>
      <c r="N226" s="77"/>
      <c r="O226" s="85"/>
      <c r="P226" s="5"/>
    </row>
    <row r="227" spans="1:17" ht="15.6" x14ac:dyDescent="0.3">
      <c r="A227" s="24"/>
      <c r="B227" s="53" t="s">
        <v>147</v>
      </c>
      <c r="C227" s="89"/>
      <c r="D227" s="89"/>
      <c r="E227" s="89"/>
      <c r="F227" s="89"/>
      <c r="G227" s="89"/>
      <c r="H227" s="89"/>
      <c r="I227" s="89"/>
      <c r="J227" s="53">
        <v>14</v>
      </c>
      <c r="K227" s="90">
        <f t="shared" si="1"/>
        <v>3.8813418353202105E-3</v>
      </c>
      <c r="L227" s="52">
        <v>896</v>
      </c>
      <c r="M227" s="125">
        <f t="shared" si="2"/>
        <v>5.8500532119795511E-3</v>
      </c>
      <c r="N227" s="77"/>
      <c r="O227" s="85"/>
      <c r="P227" s="5"/>
      <c r="Q227" s="104"/>
    </row>
    <row r="228" spans="1:17" ht="15.6" x14ac:dyDescent="0.3">
      <c r="A228" s="24"/>
      <c r="B228" s="53" t="s">
        <v>227</v>
      </c>
      <c r="C228" s="89"/>
      <c r="D228" s="89"/>
      <c r="E228" s="89"/>
      <c r="F228" s="89"/>
      <c r="G228" s="89"/>
      <c r="H228" s="89"/>
      <c r="I228" s="89"/>
      <c r="J228" s="53">
        <v>21</v>
      </c>
      <c r="K228" s="90">
        <f t="shared" si="1"/>
        <v>5.8220127529803158E-3</v>
      </c>
      <c r="L228" s="52">
        <v>1456</v>
      </c>
      <c r="M228" s="125">
        <f t="shared" si="2"/>
        <v>9.5063364694667699E-3</v>
      </c>
      <c r="N228" s="77"/>
      <c r="O228" s="85"/>
      <c r="P228" s="5"/>
    </row>
    <row r="229" spans="1:17" ht="15.6" x14ac:dyDescent="0.3">
      <c r="A229" s="24"/>
      <c r="B229" s="53" t="s">
        <v>228</v>
      </c>
      <c r="C229" s="89"/>
      <c r="D229" s="89"/>
      <c r="E229" s="89"/>
      <c r="F229" s="89"/>
      <c r="G229" s="89"/>
      <c r="H229" s="89"/>
      <c r="I229" s="89"/>
      <c r="J229" s="53">
        <v>11</v>
      </c>
      <c r="K229" s="90">
        <f t="shared" si="1"/>
        <v>3.049625727751594E-3</v>
      </c>
      <c r="L229" s="52">
        <v>783</v>
      </c>
      <c r="M229" s="125">
        <f t="shared" si="2"/>
        <v>5.1122674832365942E-3</v>
      </c>
      <c r="N229" s="77"/>
      <c r="O229" s="85"/>
      <c r="P229" s="5"/>
      <c r="Q229" s="104"/>
    </row>
    <row r="230" spans="1:17" ht="15.6" x14ac:dyDescent="0.3">
      <c r="A230" s="24"/>
      <c r="B230" s="53" t="s">
        <v>229</v>
      </c>
      <c r="C230" s="89"/>
      <c r="D230" s="89"/>
      <c r="E230" s="89"/>
      <c r="F230" s="89"/>
      <c r="G230" s="89"/>
      <c r="H230" s="89"/>
      <c r="I230" s="89"/>
      <c r="J230" s="53">
        <v>3</v>
      </c>
      <c r="K230" s="90">
        <f t="shared" si="1"/>
        <v>8.3171610756861659E-4</v>
      </c>
      <c r="L230" s="52">
        <v>160</v>
      </c>
      <c r="M230" s="125">
        <f t="shared" si="2"/>
        <v>1.0446523592820627E-3</v>
      </c>
      <c r="N230" s="77"/>
      <c r="O230" s="85"/>
      <c r="P230" s="5"/>
      <c r="Q230" s="104"/>
    </row>
    <row r="231" spans="1:17" ht="15.6" x14ac:dyDescent="0.3">
      <c r="A231" s="24"/>
      <c r="B231" s="53" t="s">
        <v>230</v>
      </c>
      <c r="C231" s="89"/>
      <c r="D231" s="89"/>
      <c r="E231" s="89"/>
      <c r="F231" s="89"/>
      <c r="G231" s="89"/>
      <c r="H231" s="89"/>
      <c r="I231" s="89"/>
      <c r="J231" s="53">
        <v>3</v>
      </c>
      <c r="K231" s="90">
        <f t="shared" si="1"/>
        <v>8.3171610756861659E-4</v>
      </c>
      <c r="L231" s="52">
        <v>1138</v>
      </c>
      <c r="M231" s="125">
        <f t="shared" si="2"/>
        <v>7.4300899053936706E-3</v>
      </c>
      <c r="N231" s="77"/>
      <c r="O231" s="85"/>
      <c r="P231" s="5"/>
      <c r="Q231" s="104"/>
    </row>
    <row r="232" spans="1:17" ht="15.6" x14ac:dyDescent="0.3">
      <c r="A232" s="24"/>
      <c r="B232" s="53" t="s">
        <v>231</v>
      </c>
      <c r="C232" s="89"/>
      <c r="D232" s="89"/>
      <c r="E232" s="89"/>
      <c r="F232" s="89"/>
      <c r="G232" s="89"/>
      <c r="H232" s="89"/>
      <c r="I232" s="89"/>
      <c r="J232" s="53">
        <v>3</v>
      </c>
      <c r="K232" s="90">
        <f t="shared" si="1"/>
        <v>8.3171610756861659E-4</v>
      </c>
      <c r="L232" s="52">
        <v>398</v>
      </c>
      <c r="M232" s="125">
        <f t="shared" si="2"/>
        <v>2.598572743714131E-3</v>
      </c>
      <c r="N232" s="77"/>
      <c r="O232" s="85"/>
      <c r="P232" s="5"/>
      <c r="Q232" s="104"/>
    </row>
    <row r="233" spans="1:17" ht="15.6" x14ac:dyDescent="0.3">
      <c r="A233" s="24"/>
      <c r="B233" s="53" t="s">
        <v>232</v>
      </c>
      <c r="C233" s="89"/>
      <c r="D233" s="89"/>
      <c r="E233" s="89"/>
      <c r="F233" s="89"/>
      <c r="G233" s="89"/>
      <c r="H233" s="89"/>
      <c r="I233" s="89"/>
      <c r="J233" s="53">
        <v>1</v>
      </c>
      <c r="K233" s="90">
        <f t="shared" si="1"/>
        <v>2.772387025228722E-4</v>
      </c>
      <c r="L233" s="52">
        <v>187</v>
      </c>
      <c r="M233" s="125">
        <f t="shared" si="2"/>
        <v>1.2209374449109107E-3</v>
      </c>
      <c r="N233" s="77"/>
      <c r="O233" s="85"/>
      <c r="P233" s="5"/>
      <c r="Q233" s="104"/>
    </row>
    <row r="234" spans="1:17" ht="15.6" x14ac:dyDescent="0.3">
      <c r="A234" s="24"/>
      <c r="B234" s="53" t="s">
        <v>233</v>
      </c>
      <c r="C234" s="89"/>
      <c r="D234" s="89"/>
      <c r="E234" s="89"/>
      <c r="F234" s="89"/>
      <c r="G234" s="89"/>
      <c r="H234" s="89"/>
      <c r="I234" s="89"/>
      <c r="J234" s="53">
        <v>2</v>
      </c>
      <c r="K234" s="90">
        <f t="shared" si="1"/>
        <v>5.5447740504574439E-4</v>
      </c>
      <c r="L234" s="52">
        <v>23</v>
      </c>
      <c r="M234" s="125">
        <f t="shared" si="2"/>
        <v>1.5016877664679652E-4</v>
      </c>
      <c r="N234" s="77"/>
      <c r="O234" s="85"/>
      <c r="P234" s="5"/>
      <c r="Q234" s="104"/>
    </row>
    <row r="235" spans="1:17" ht="15.6" x14ac:dyDescent="0.3">
      <c r="A235" s="24"/>
      <c r="B235" s="53"/>
      <c r="C235" s="89"/>
      <c r="D235" s="89"/>
      <c r="E235" s="89"/>
      <c r="F235" s="89"/>
      <c r="G235" s="89"/>
      <c r="H235" s="89"/>
      <c r="I235" s="89"/>
      <c r="J235" s="53"/>
      <c r="K235" s="90"/>
      <c r="L235" s="52"/>
      <c r="M235" s="125"/>
      <c r="N235" s="77"/>
      <c r="O235" s="85"/>
      <c r="P235" s="5"/>
      <c r="Q235" s="104"/>
    </row>
    <row r="236" spans="1:17" ht="15.6" x14ac:dyDescent="0.3">
      <c r="A236" s="24"/>
      <c r="B236" s="25"/>
      <c r="C236" s="25"/>
      <c r="D236" s="91"/>
      <c r="E236" s="91"/>
      <c r="F236" s="91"/>
      <c r="G236" s="91"/>
      <c r="H236" s="91"/>
      <c r="I236" s="91"/>
      <c r="J236" s="34">
        <f>SUM(J222:J235)</f>
        <v>3607</v>
      </c>
      <c r="K236" s="125">
        <f>SUM(K222:K235)</f>
        <v>0.99999999999999989</v>
      </c>
      <c r="L236" s="52">
        <f>SUM(L222:L235)</f>
        <v>153161</v>
      </c>
      <c r="M236" s="125">
        <f>SUM(M222:M235)</f>
        <v>1</v>
      </c>
      <c r="N236" s="25"/>
      <c r="O236" s="25"/>
      <c r="P236" s="5"/>
    </row>
    <row r="237" spans="1:17" ht="15.6" x14ac:dyDescent="0.3">
      <c r="A237" s="24"/>
      <c r="B237" s="25"/>
      <c r="C237" s="25"/>
      <c r="D237" s="91"/>
      <c r="E237" s="91"/>
      <c r="F237" s="91"/>
      <c r="G237" s="91"/>
      <c r="H237" s="91"/>
      <c r="I237" s="91"/>
      <c r="J237" s="34"/>
      <c r="K237" s="125"/>
      <c r="L237" s="52"/>
      <c r="M237" s="125"/>
      <c r="N237" s="25"/>
      <c r="O237" s="25"/>
      <c r="P237" s="5"/>
    </row>
    <row r="238" spans="1:17" ht="15.6" x14ac:dyDescent="0.3">
      <c r="A238" s="133"/>
      <c r="B238" s="14" t="s">
        <v>204</v>
      </c>
      <c r="C238" s="79"/>
      <c r="D238" s="17"/>
      <c r="E238" s="17"/>
      <c r="F238" s="17"/>
      <c r="G238" s="17"/>
      <c r="H238" s="17"/>
      <c r="I238" s="17"/>
      <c r="J238" s="80" t="s">
        <v>99</v>
      </c>
      <c r="K238" s="17" t="s">
        <v>100</v>
      </c>
      <c r="L238" s="80" t="s">
        <v>108</v>
      </c>
      <c r="M238" s="17" t="s">
        <v>100</v>
      </c>
      <c r="N238" s="131"/>
      <c r="O238" s="132"/>
      <c r="P238" s="5"/>
    </row>
    <row r="239" spans="1:17" ht="15.6" x14ac:dyDescent="0.3">
      <c r="A239" s="24"/>
      <c r="B239" s="53" t="s">
        <v>85</v>
      </c>
      <c r="C239" s="89"/>
      <c r="D239" s="89"/>
      <c r="E239" s="89"/>
      <c r="F239" s="89"/>
      <c r="G239" s="89"/>
      <c r="H239" s="89"/>
      <c r="I239" s="89"/>
      <c r="J239" s="53">
        <v>0</v>
      </c>
      <c r="K239" s="90">
        <v>0</v>
      </c>
      <c r="L239" s="52">
        <v>0</v>
      </c>
      <c r="M239" s="125">
        <v>0</v>
      </c>
      <c r="N239" s="25"/>
      <c r="O239" s="25"/>
      <c r="P239" s="5"/>
    </row>
    <row r="240" spans="1:17" ht="15.6" x14ac:dyDescent="0.3">
      <c r="A240" s="24"/>
      <c r="B240" s="53" t="s">
        <v>86</v>
      </c>
      <c r="C240" s="89"/>
      <c r="D240" s="89"/>
      <c r="E240" s="89"/>
      <c r="F240" s="89"/>
      <c r="G240" s="89"/>
      <c r="H240" s="89"/>
      <c r="I240" s="89"/>
      <c r="J240" s="53">
        <v>0</v>
      </c>
      <c r="K240" s="90">
        <v>0</v>
      </c>
      <c r="L240" s="52">
        <v>0</v>
      </c>
      <c r="M240" s="125">
        <v>0</v>
      </c>
      <c r="N240" s="25"/>
      <c r="O240" s="25"/>
      <c r="P240" s="5"/>
    </row>
    <row r="241" spans="1:16" ht="15.6" x14ac:dyDescent="0.3">
      <c r="A241" s="24"/>
      <c r="B241" s="53" t="s">
        <v>87</v>
      </c>
      <c r="C241" s="89"/>
      <c r="D241" s="89"/>
      <c r="E241" s="89"/>
      <c r="F241" s="89"/>
      <c r="G241" s="89"/>
      <c r="H241" s="89"/>
      <c r="I241" s="89"/>
      <c r="J241" s="53">
        <v>0</v>
      </c>
      <c r="K241" s="90">
        <v>0</v>
      </c>
      <c r="L241" s="52">
        <v>0</v>
      </c>
      <c r="M241" s="125">
        <v>0</v>
      </c>
      <c r="N241" s="25"/>
      <c r="O241" s="25"/>
      <c r="P241" s="5"/>
    </row>
    <row r="242" spans="1:16" ht="15.6" x14ac:dyDescent="0.3">
      <c r="A242" s="24"/>
      <c r="B242" s="53" t="s">
        <v>145</v>
      </c>
      <c r="C242" s="89"/>
      <c r="D242" s="89"/>
      <c r="E242" s="89"/>
      <c r="F242" s="89"/>
      <c r="G242" s="89"/>
      <c r="H242" s="89"/>
      <c r="I242" s="89"/>
      <c r="J242" s="53">
        <v>0</v>
      </c>
      <c r="K242" s="90">
        <v>0</v>
      </c>
      <c r="L242" s="52">
        <v>0</v>
      </c>
      <c r="M242" s="125">
        <v>0</v>
      </c>
      <c r="N242" s="25"/>
      <c r="O242" s="25"/>
      <c r="P242" s="5"/>
    </row>
    <row r="243" spans="1:16" ht="15.6" x14ac:dyDescent="0.3">
      <c r="A243" s="24"/>
      <c r="B243" s="53" t="s">
        <v>146</v>
      </c>
      <c r="C243" s="89"/>
      <c r="D243" s="89"/>
      <c r="E243" s="89"/>
      <c r="F243" s="89"/>
      <c r="G243" s="89"/>
      <c r="H243" s="89"/>
      <c r="I243" s="89"/>
      <c r="J243" s="53">
        <v>0</v>
      </c>
      <c r="K243" s="90">
        <v>0</v>
      </c>
      <c r="L243" s="52">
        <v>0</v>
      </c>
      <c r="M243" s="125">
        <v>0</v>
      </c>
      <c r="N243" s="25"/>
      <c r="O243" s="25"/>
      <c r="P243" s="5"/>
    </row>
    <row r="244" spans="1:16" ht="15.6" x14ac:dyDescent="0.3">
      <c r="A244" s="24"/>
      <c r="B244" s="53" t="s">
        <v>147</v>
      </c>
      <c r="C244" s="89"/>
      <c r="D244" s="89"/>
      <c r="E244" s="89"/>
      <c r="F244" s="89"/>
      <c r="G244" s="89"/>
      <c r="H244" s="89"/>
      <c r="I244" s="89"/>
      <c r="J244" s="53">
        <v>0</v>
      </c>
      <c r="K244" s="90">
        <v>0</v>
      </c>
      <c r="L244" s="52">
        <v>0</v>
      </c>
      <c r="M244" s="125">
        <v>0</v>
      </c>
      <c r="N244" s="25"/>
      <c r="O244" s="25"/>
      <c r="P244" s="5"/>
    </row>
    <row r="245" spans="1:16" ht="15.6" x14ac:dyDescent="0.3">
      <c r="A245" s="24"/>
      <c r="B245" s="53" t="s">
        <v>227</v>
      </c>
      <c r="C245" s="89"/>
      <c r="D245" s="89"/>
      <c r="E245" s="89"/>
      <c r="F245" s="89"/>
      <c r="G245" s="89"/>
      <c r="H245" s="89"/>
      <c r="I245" s="89"/>
      <c r="J245" s="53">
        <v>0</v>
      </c>
      <c r="K245" s="90">
        <v>0</v>
      </c>
      <c r="L245" s="52">
        <v>0</v>
      </c>
      <c r="M245" s="125">
        <v>0</v>
      </c>
      <c r="N245" s="25"/>
      <c r="O245" s="25"/>
      <c r="P245" s="5"/>
    </row>
    <row r="246" spans="1:16" ht="15.6" x14ac:dyDescent="0.3">
      <c r="A246" s="24"/>
      <c r="B246" s="53" t="s">
        <v>228</v>
      </c>
      <c r="C246" s="89"/>
      <c r="D246" s="89"/>
      <c r="E246" s="89"/>
      <c r="F246" s="89"/>
      <c r="G246" s="89"/>
      <c r="H246" s="89"/>
      <c r="I246" s="89"/>
      <c r="J246" s="53">
        <v>0</v>
      </c>
      <c r="K246" s="90">
        <v>0</v>
      </c>
      <c r="L246" s="52">
        <v>0</v>
      </c>
      <c r="M246" s="125">
        <v>0</v>
      </c>
      <c r="N246" s="25"/>
      <c r="O246" s="25"/>
      <c r="P246" s="5"/>
    </row>
    <row r="247" spans="1:16" ht="15.6" x14ac:dyDescent="0.3">
      <c r="A247" s="24"/>
      <c r="B247" s="53" t="s">
        <v>229</v>
      </c>
      <c r="C247" s="89"/>
      <c r="D247" s="89"/>
      <c r="E247" s="89"/>
      <c r="F247" s="89"/>
      <c r="G247" s="89"/>
      <c r="H247" s="89"/>
      <c r="I247" s="89"/>
      <c r="J247" s="53">
        <v>0</v>
      </c>
      <c r="K247" s="90">
        <v>0</v>
      </c>
      <c r="L247" s="52">
        <v>0</v>
      </c>
      <c r="M247" s="125">
        <v>0</v>
      </c>
      <c r="N247" s="25"/>
      <c r="O247" s="25"/>
      <c r="P247" s="5"/>
    </row>
    <row r="248" spans="1:16" ht="15.6" x14ac:dyDescent="0.3">
      <c r="A248" s="24"/>
      <c r="B248" s="53" t="s">
        <v>230</v>
      </c>
      <c r="C248" s="89"/>
      <c r="D248" s="89"/>
      <c r="E248" s="89"/>
      <c r="F248" s="89"/>
      <c r="G248" s="89"/>
      <c r="H248" s="89"/>
      <c r="I248" s="89"/>
      <c r="J248" s="53">
        <v>0</v>
      </c>
      <c r="K248" s="90">
        <v>0</v>
      </c>
      <c r="L248" s="52">
        <v>0</v>
      </c>
      <c r="M248" s="125">
        <v>0</v>
      </c>
      <c r="N248" s="25"/>
      <c r="O248" s="25"/>
      <c r="P248" s="5"/>
    </row>
    <row r="249" spans="1:16" ht="15.6" x14ac:dyDescent="0.3">
      <c r="A249" s="24"/>
      <c r="B249" s="53" t="s">
        <v>231</v>
      </c>
      <c r="C249" s="89"/>
      <c r="D249" s="89"/>
      <c r="E249" s="89"/>
      <c r="F249" s="89"/>
      <c r="G249" s="89"/>
      <c r="H249" s="89"/>
      <c r="I249" s="89"/>
      <c r="J249" s="53">
        <v>0</v>
      </c>
      <c r="K249" s="90">
        <v>0</v>
      </c>
      <c r="L249" s="52">
        <v>0</v>
      </c>
      <c r="M249" s="125">
        <v>0</v>
      </c>
      <c r="N249" s="25"/>
      <c r="O249" s="25"/>
      <c r="P249" s="5"/>
    </row>
    <row r="250" spans="1:16" ht="15.6" x14ac:dyDescent="0.3">
      <c r="A250" s="24"/>
      <c r="B250" s="53" t="s">
        <v>232</v>
      </c>
      <c r="C250" s="89"/>
      <c r="D250" s="89"/>
      <c r="E250" s="89"/>
      <c r="F250" s="89"/>
      <c r="G250" s="89"/>
      <c r="H250" s="89"/>
      <c r="I250" s="89"/>
      <c r="J250" s="53">
        <v>0</v>
      </c>
      <c r="K250" s="90">
        <v>0</v>
      </c>
      <c r="L250" s="52">
        <v>0</v>
      </c>
      <c r="M250" s="125">
        <v>0</v>
      </c>
      <c r="N250" s="25"/>
      <c r="O250" s="25"/>
      <c r="P250" s="5"/>
    </row>
    <row r="251" spans="1:16" ht="15.6" x14ac:dyDescent="0.3">
      <c r="A251" s="24"/>
      <c r="B251" s="53" t="s">
        <v>233</v>
      </c>
      <c r="C251" s="89"/>
      <c r="D251" s="89"/>
      <c r="E251" s="89"/>
      <c r="F251" s="89"/>
      <c r="G251" s="89"/>
      <c r="H251" s="89"/>
      <c r="I251" s="89"/>
      <c r="J251" s="53">
        <v>0</v>
      </c>
      <c r="K251" s="90">
        <v>0</v>
      </c>
      <c r="L251" s="52">
        <v>0</v>
      </c>
      <c r="M251" s="125">
        <v>0</v>
      </c>
      <c r="N251" s="25"/>
      <c r="O251" s="25"/>
      <c r="P251" s="5"/>
    </row>
    <row r="252" spans="1:16" ht="15.6" x14ac:dyDescent="0.3">
      <c r="A252" s="24"/>
      <c r="B252" s="53"/>
      <c r="C252" s="89"/>
      <c r="D252" s="89"/>
      <c r="E252" s="89"/>
      <c r="F252" s="89"/>
      <c r="G252" s="89"/>
      <c r="H252" s="89"/>
      <c r="I252" s="89"/>
      <c r="J252" s="53"/>
      <c r="K252" s="90"/>
      <c r="L252" s="52"/>
      <c r="M252" s="125"/>
      <c r="N252" s="25"/>
      <c r="O252" s="25"/>
      <c r="P252" s="5"/>
    </row>
    <row r="253" spans="1:16" ht="15.6" x14ac:dyDescent="0.3">
      <c r="A253" s="24"/>
      <c r="B253" s="25"/>
      <c r="C253" s="25"/>
      <c r="D253" s="91"/>
      <c r="E253" s="91"/>
      <c r="F253" s="91"/>
      <c r="G253" s="91"/>
      <c r="H253" s="91"/>
      <c r="I253" s="91"/>
      <c r="J253" s="34">
        <f>SUM(J239:J252)</f>
        <v>0</v>
      </c>
      <c r="K253" s="125">
        <f>SUM(K239:K252)</f>
        <v>0</v>
      </c>
      <c r="L253" s="52">
        <f>SUM(L239:L252)</f>
        <v>0</v>
      </c>
      <c r="M253" s="125">
        <f>SUM(M239:M252)</f>
        <v>0</v>
      </c>
      <c r="N253" s="25"/>
      <c r="O253" s="25"/>
      <c r="P253" s="5"/>
    </row>
    <row r="254" spans="1:16" ht="15.6" x14ac:dyDescent="0.3">
      <c r="A254" s="24"/>
      <c r="B254" s="25"/>
      <c r="C254" s="25"/>
      <c r="D254" s="91"/>
      <c r="E254" s="91"/>
      <c r="F254" s="91"/>
      <c r="G254" s="91"/>
      <c r="H254" s="91"/>
      <c r="I254" s="91"/>
      <c r="J254" s="34"/>
      <c r="K254" s="125"/>
      <c r="L254" s="52"/>
      <c r="M254" s="125"/>
      <c r="N254" s="25"/>
      <c r="O254" s="25"/>
      <c r="P254" s="5"/>
    </row>
    <row r="255" spans="1:16" ht="15.6" x14ac:dyDescent="0.3">
      <c r="A255" s="133"/>
      <c r="B255" s="14" t="s">
        <v>150</v>
      </c>
      <c r="C255" s="131"/>
      <c r="D255" s="137"/>
      <c r="E255" s="137"/>
      <c r="F255" s="137"/>
      <c r="G255" s="137"/>
      <c r="H255" s="137"/>
      <c r="I255" s="137"/>
      <c r="J255" s="80" t="s">
        <v>99</v>
      </c>
      <c r="K255" s="17" t="s">
        <v>100</v>
      </c>
      <c r="L255" s="80" t="s">
        <v>108</v>
      </c>
      <c r="M255" s="17" t="s">
        <v>100</v>
      </c>
      <c r="N255" s="131"/>
      <c r="O255" s="132"/>
      <c r="P255" s="5"/>
    </row>
    <row r="256" spans="1:16" ht="15.6" x14ac:dyDescent="0.3">
      <c r="A256" s="24"/>
      <c r="B256" s="53" t="s">
        <v>85</v>
      </c>
      <c r="C256" s="25"/>
      <c r="D256" s="91"/>
      <c r="E256" s="91"/>
      <c r="F256" s="91"/>
      <c r="G256" s="91"/>
      <c r="H256" s="91"/>
      <c r="I256" s="91"/>
      <c r="J256" s="53">
        <v>0</v>
      </c>
      <c r="K256" s="90">
        <v>0</v>
      </c>
      <c r="L256" s="52">
        <v>0</v>
      </c>
      <c r="M256" s="125">
        <v>0</v>
      </c>
      <c r="N256" s="25"/>
      <c r="O256" s="25"/>
      <c r="P256" s="5"/>
    </row>
    <row r="257" spans="1:16" ht="15.6" x14ac:dyDescent="0.3">
      <c r="A257" s="24"/>
      <c r="B257" s="53" t="s">
        <v>86</v>
      </c>
      <c r="C257" s="25"/>
      <c r="D257" s="91"/>
      <c r="E257" s="91"/>
      <c r="F257" s="91"/>
      <c r="G257" s="91"/>
      <c r="H257" s="91"/>
      <c r="I257" s="91"/>
      <c r="J257" s="53">
        <v>0</v>
      </c>
      <c r="K257" s="90">
        <v>0</v>
      </c>
      <c r="L257" s="52">
        <v>0</v>
      </c>
      <c r="M257" s="125">
        <v>0</v>
      </c>
      <c r="N257" s="25"/>
      <c r="O257" s="25"/>
      <c r="P257" s="5"/>
    </row>
    <row r="258" spans="1:16" ht="15.6" x14ac:dyDescent="0.3">
      <c r="A258" s="24"/>
      <c r="B258" s="53" t="s">
        <v>87</v>
      </c>
      <c r="C258" s="25"/>
      <c r="D258" s="91"/>
      <c r="E258" s="91"/>
      <c r="F258" s="91"/>
      <c r="G258" s="91"/>
      <c r="H258" s="91"/>
      <c r="I258" s="91"/>
      <c r="J258" s="53">
        <v>0</v>
      </c>
      <c r="K258" s="90">
        <v>0</v>
      </c>
      <c r="L258" s="52">
        <v>0</v>
      </c>
      <c r="M258" s="125">
        <v>0</v>
      </c>
      <c r="N258" s="25"/>
      <c r="O258" s="25"/>
      <c r="P258" s="5"/>
    </row>
    <row r="259" spans="1:16" ht="15.6" x14ac:dyDescent="0.3">
      <c r="A259" s="24"/>
      <c r="B259" s="53" t="s">
        <v>145</v>
      </c>
      <c r="C259" s="25"/>
      <c r="D259" s="91"/>
      <c r="E259" s="91"/>
      <c r="F259" s="91"/>
      <c r="G259" s="91"/>
      <c r="H259" s="91"/>
      <c r="I259" s="91"/>
      <c r="J259" s="53">
        <v>0</v>
      </c>
      <c r="K259" s="90">
        <v>0</v>
      </c>
      <c r="L259" s="52">
        <v>0</v>
      </c>
      <c r="M259" s="125">
        <v>0</v>
      </c>
      <c r="N259" s="25"/>
      <c r="O259" s="25"/>
      <c r="P259" s="5"/>
    </row>
    <row r="260" spans="1:16" ht="15.6" x14ac:dyDescent="0.3">
      <c r="A260" s="24"/>
      <c r="B260" s="53" t="s">
        <v>146</v>
      </c>
      <c r="C260" s="25"/>
      <c r="D260" s="91"/>
      <c r="E260" s="91"/>
      <c r="F260" s="91"/>
      <c r="G260" s="91"/>
      <c r="H260" s="91"/>
      <c r="I260" s="91"/>
      <c r="J260" s="53">
        <v>0</v>
      </c>
      <c r="K260" s="90">
        <v>0</v>
      </c>
      <c r="L260" s="52">
        <v>0</v>
      </c>
      <c r="M260" s="125">
        <v>0</v>
      </c>
      <c r="N260" s="25"/>
      <c r="O260" s="25"/>
      <c r="P260" s="5"/>
    </row>
    <row r="261" spans="1:16" ht="15.6" x14ac:dyDescent="0.3">
      <c r="A261" s="24"/>
      <c r="B261" s="53" t="s">
        <v>147</v>
      </c>
      <c r="C261" s="25"/>
      <c r="D261" s="91"/>
      <c r="E261" s="91"/>
      <c r="F261" s="91"/>
      <c r="G261" s="91"/>
      <c r="H261" s="91"/>
      <c r="I261" s="91"/>
      <c r="J261" s="53">
        <v>0</v>
      </c>
      <c r="K261" s="90">
        <v>0</v>
      </c>
      <c r="L261" s="52">
        <v>0</v>
      </c>
      <c r="M261" s="125">
        <v>0</v>
      </c>
      <c r="N261" s="25"/>
      <c r="O261" s="25"/>
      <c r="P261" s="5"/>
    </row>
    <row r="262" spans="1:16" ht="15.6" x14ac:dyDescent="0.3">
      <c r="A262" s="24"/>
      <c r="B262" s="53" t="s">
        <v>227</v>
      </c>
      <c r="C262" s="25"/>
      <c r="D262" s="91"/>
      <c r="E262" s="91"/>
      <c r="F262" s="91"/>
      <c r="G262" s="91"/>
      <c r="H262" s="91"/>
      <c r="I262" s="91"/>
      <c r="J262" s="53">
        <v>0</v>
      </c>
      <c r="K262" s="90">
        <v>0</v>
      </c>
      <c r="L262" s="52">
        <v>0</v>
      </c>
      <c r="M262" s="125">
        <v>0</v>
      </c>
      <c r="N262" s="25"/>
      <c r="O262" s="25"/>
      <c r="P262" s="5"/>
    </row>
    <row r="263" spans="1:16" ht="15.6" x14ac:dyDescent="0.3">
      <c r="A263" s="24"/>
      <c r="B263" s="53" t="s">
        <v>228</v>
      </c>
      <c r="C263" s="25"/>
      <c r="D263" s="91"/>
      <c r="E263" s="91"/>
      <c r="F263" s="91"/>
      <c r="G263" s="91"/>
      <c r="H263" s="91"/>
      <c r="I263" s="91"/>
      <c r="J263" s="53">
        <v>0</v>
      </c>
      <c r="K263" s="90">
        <v>0</v>
      </c>
      <c r="L263" s="52">
        <v>0</v>
      </c>
      <c r="M263" s="125">
        <v>0</v>
      </c>
      <c r="N263" s="25"/>
      <c r="O263" s="25"/>
      <c r="P263" s="5"/>
    </row>
    <row r="264" spans="1:16" ht="15.6" x14ac:dyDescent="0.3">
      <c r="A264" s="24"/>
      <c r="B264" s="53" t="s">
        <v>229</v>
      </c>
      <c r="C264" s="25"/>
      <c r="D264" s="91"/>
      <c r="E264" s="91"/>
      <c r="F264" s="91"/>
      <c r="G264" s="91"/>
      <c r="H264" s="91"/>
      <c r="I264" s="91"/>
      <c r="J264" s="53">
        <v>0</v>
      </c>
      <c r="K264" s="90">
        <v>0</v>
      </c>
      <c r="L264" s="52">
        <v>0</v>
      </c>
      <c r="M264" s="125">
        <v>0</v>
      </c>
      <c r="N264" s="25"/>
      <c r="O264" s="25"/>
      <c r="P264" s="5"/>
    </row>
    <row r="265" spans="1:16" ht="15.6" x14ac:dyDescent="0.3">
      <c r="A265" s="24"/>
      <c r="B265" s="53" t="s">
        <v>230</v>
      </c>
      <c r="C265" s="25"/>
      <c r="D265" s="91"/>
      <c r="E265" s="91"/>
      <c r="F265" s="91"/>
      <c r="G265" s="91"/>
      <c r="H265" s="91"/>
      <c r="I265" s="91"/>
      <c r="J265" s="53">
        <v>0</v>
      </c>
      <c r="K265" s="90">
        <v>0</v>
      </c>
      <c r="L265" s="52">
        <v>0</v>
      </c>
      <c r="M265" s="125">
        <v>0</v>
      </c>
      <c r="N265" s="25"/>
      <c r="O265" s="25"/>
      <c r="P265" s="5"/>
    </row>
    <row r="266" spans="1:16" ht="15.6" x14ac:dyDescent="0.3">
      <c r="A266" s="24"/>
      <c r="B266" s="53" t="s">
        <v>231</v>
      </c>
      <c r="C266" s="25"/>
      <c r="D266" s="91"/>
      <c r="E266" s="91"/>
      <c r="F266" s="91"/>
      <c r="G266" s="91"/>
      <c r="H266" s="91"/>
      <c r="I266" s="91"/>
      <c r="J266" s="53">
        <v>0</v>
      </c>
      <c r="K266" s="90">
        <v>0</v>
      </c>
      <c r="L266" s="52">
        <v>0</v>
      </c>
      <c r="M266" s="125">
        <v>0</v>
      </c>
      <c r="N266" s="25"/>
      <c r="O266" s="25"/>
      <c r="P266" s="5"/>
    </row>
    <row r="267" spans="1:16" ht="15.6" x14ac:dyDescent="0.3">
      <c r="A267" s="24"/>
      <c r="B267" s="53" t="s">
        <v>232</v>
      </c>
      <c r="C267" s="25"/>
      <c r="D267" s="91"/>
      <c r="E267" s="91"/>
      <c r="F267" s="91"/>
      <c r="G267" s="91"/>
      <c r="H267" s="91"/>
      <c r="I267" s="91"/>
      <c r="J267" s="53">
        <v>0</v>
      </c>
      <c r="K267" s="90">
        <v>0</v>
      </c>
      <c r="L267" s="52">
        <v>0</v>
      </c>
      <c r="M267" s="125">
        <v>0</v>
      </c>
      <c r="N267" s="25"/>
      <c r="O267" s="25"/>
      <c r="P267" s="5"/>
    </row>
    <row r="268" spans="1:16" ht="15.6" x14ac:dyDescent="0.3">
      <c r="A268" s="24"/>
      <c r="B268" s="53" t="s">
        <v>233</v>
      </c>
      <c r="C268" s="25"/>
      <c r="D268" s="91"/>
      <c r="E268" s="91"/>
      <c r="F268" s="91"/>
      <c r="G268" s="91"/>
      <c r="H268" s="91"/>
      <c r="I268" s="91"/>
      <c r="J268" s="53">
        <v>0</v>
      </c>
      <c r="K268" s="90">
        <v>0</v>
      </c>
      <c r="L268" s="52">
        <v>0</v>
      </c>
      <c r="M268" s="125">
        <v>0</v>
      </c>
      <c r="N268" s="25"/>
      <c r="O268" s="25"/>
      <c r="P268" s="5"/>
    </row>
    <row r="269" spans="1:16" ht="15.6" x14ac:dyDescent="0.3">
      <c r="A269" s="24"/>
      <c r="B269" s="53"/>
      <c r="C269" s="25"/>
      <c r="D269" s="91"/>
      <c r="E269" s="91"/>
      <c r="F269" s="91"/>
      <c r="G269" s="91"/>
      <c r="H269" s="91"/>
      <c r="I269" s="91"/>
      <c r="J269" s="53"/>
      <c r="K269" s="90"/>
      <c r="L269" s="52"/>
      <c r="M269" s="125"/>
      <c r="N269" s="25"/>
      <c r="O269" s="25"/>
      <c r="P269" s="5"/>
    </row>
    <row r="270" spans="1:16" ht="15.6" x14ac:dyDescent="0.3">
      <c r="A270" s="24"/>
      <c r="B270" s="25" t="s">
        <v>114</v>
      </c>
      <c r="C270" s="25"/>
      <c r="D270" s="91"/>
      <c r="E270" s="91"/>
      <c r="F270" s="91"/>
      <c r="G270" s="91"/>
      <c r="H270" s="91"/>
      <c r="I270" s="91"/>
      <c r="J270" s="34">
        <f>SUM(J256:J268)</f>
        <v>0</v>
      </c>
      <c r="K270" s="90">
        <f>SUM(K256:K268)</f>
        <v>0</v>
      </c>
      <c r="L270" s="52">
        <f>SUM(L256:L268)</f>
        <v>0</v>
      </c>
      <c r="M270" s="125">
        <f>SUM(M256:M268)</f>
        <v>0</v>
      </c>
      <c r="N270" s="25"/>
      <c r="O270" s="25"/>
      <c r="P270" s="5"/>
    </row>
    <row r="271" spans="1:16" ht="15.6" x14ac:dyDescent="0.3">
      <c r="A271" s="24"/>
      <c r="B271" s="25"/>
      <c r="C271" s="25"/>
      <c r="D271" s="91"/>
      <c r="E271" s="91"/>
      <c r="F271" s="91"/>
      <c r="G271" s="91"/>
      <c r="H271" s="91"/>
      <c r="I271" s="91"/>
      <c r="J271" s="34"/>
      <c r="K271" s="125"/>
      <c r="L271" s="52"/>
      <c r="M271" s="125"/>
      <c r="N271" s="25"/>
      <c r="O271" s="25"/>
      <c r="P271" s="5"/>
    </row>
    <row r="272" spans="1:16" ht="15.6" x14ac:dyDescent="0.3">
      <c r="A272" s="24"/>
      <c r="B272" s="134" t="s">
        <v>151</v>
      </c>
      <c r="C272" s="25"/>
      <c r="D272" s="91"/>
      <c r="E272" s="91"/>
      <c r="F272" s="91"/>
      <c r="G272" s="91"/>
      <c r="H272" s="91"/>
      <c r="I272" s="91"/>
      <c r="J272" s="149">
        <f>J270+J253+J236</f>
        <v>3607</v>
      </c>
      <c r="K272" s="135"/>
      <c r="L272" s="136">
        <f>+L270+L253+L236</f>
        <v>153161</v>
      </c>
      <c r="M272" s="135"/>
      <c r="N272" s="25"/>
      <c r="O272" s="25"/>
      <c r="P272" s="5"/>
    </row>
    <row r="273" spans="1:16" ht="15.6" x14ac:dyDescent="0.3">
      <c r="A273" s="24"/>
      <c r="B273" s="25"/>
      <c r="C273" s="25"/>
      <c r="D273" s="91"/>
      <c r="E273" s="91"/>
      <c r="F273" s="91"/>
      <c r="G273" s="91"/>
      <c r="H273" s="91"/>
      <c r="I273" s="91"/>
      <c r="J273" s="91"/>
      <c r="K273" s="91"/>
      <c r="L273" s="52"/>
      <c r="M273" s="91"/>
      <c r="N273" s="25"/>
      <c r="O273" s="25"/>
      <c r="P273" s="5"/>
    </row>
    <row r="274" spans="1:16" ht="15.6" x14ac:dyDescent="0.3">
      <c r="A274" s="6"/>
      <c r="B274" s="8"/>
      <c r="C274" s="8"/>
      <c r="D274" s="92"/>
      <c r="E274" s="92"/>
      <c r="F274" s="92"/>
      <c r="G274" s="92"/>
      <c r="H274" s="92"/>
      <c r="I274" s="92"/>
      <c r="J274" s="92"/>
      <c r="K274" s="92"/>
      <c r="L274" s="93"/>
      <c r="M274" s="92"/>
      <c r="N274" s="8"/>
      <c r="O274" s="8"/>
      <c r="P274" s="5"/>
    </row>
    <row r="275" spans="1:16" ht="15.6" x14ac:dyDescent="0.3">
      <c r="A275" s="179"/>
      <c r="B275" s="14" t="s">
        <v>88</v>
      </c>
      <c r="C275" s="15"/>
      <c r="D275" s="17" t="s">
        <v>94</v>
      </c>
      <c r="E275" s="15"/>
      <c r="F275" s="14" t="s">
        <v>96</v>
      </c>
      <c r="G275" s="174"/>
      <c r="H275" s="174"/>
      <c r="I275" s="174"/>
      <c r="J275" s="17"/>
      <c r="K275" s="15"/>
      <c r="L275" s="14"/>
      <c r="M275" s="174"/>
      <c r="N275" s="174"/>
      <c r="O275" s="174"/>
      <c r="P275" s="5"/>
    </row>
    <row r="276" spans="1:16" ht="15.6" x14ac:dyDescent="0.3">
      <c r="A276" s="179"/>
      <c r="B276" s="174"/>
      <c r="C276" s="8"/>
      <c r="D276" s="8"/>
      <c r="E276" s="8"/>
      <c r="F276" s="8"/>
      <c r="G276" s="174"/>
      <c r="H276" s="174"/>
      <c r="I276" s="174"/>
      <c r="J276" s="8"/>
      <c r="K276" s="8"/>
      <c r="L276" s="8"/>
      <c r="M276" s="174"/>
      <c r="N276" s="174"/>
      <c r="O276" s="174"/>
      <c r="P276" s="5"/>
    </row>
    <row r="277" spans="1:16" ht="15.6" x14ac:dyDescent="0.3">
      <c r="A277" s="179"/>
      <c r="B277" s="13" t="s">
        <v>89</v>
      </c>
      <c r="C277" s="13"/>
      <c r="D277" s="123" t="s">
        <v>138</v>
      </c>
      <c r="E277" s="13"/>
      <c r="F277" s="13" t="s">
        <v>141</v>
      </c>
      <c r="G277" s="174"/>
      <c r="H277" s="174"/>
      <c r="I277" s="174"/>
      <c r="J277" s="123"/>
      <c r="K277" s="13"/>
      <c r="L277" s="13"/>
      <c r="M277" s="174"/>
      <c r="N277" s="174"/>
      <c r="O277" s="174"/>
      <c r="P277" s="5"/>
    </row>
    <row r="278" spans="1:16" ht="15.6" x14ac:dyDescent="0.3">
      <c r="A278" s="13"/>
      <c r="B278" s="13" t="s">
        <v>239</v>
      </c>
      <c r="C278" s="13"/>
      <c r="D278" s="123" t="s">
        <v>240</v>
      </c>
      <c r="E278" s="123"/>
      <c r="F278" s="13" t="s">
        <v>241</v>
      </c>
      <c r="G278" s="13"/>
      <c r="H278" s="174"/>
      <c r="I278" s="174"/>
      <c r="J278" s="123"/>
      <c r="K278" s="13"/>
      <c r="L278" s="13"/>
      <c r="M278" s="174"/>
      <c r="N278" s="174"/>
      <c r="O278" s="174"/>
      <c r="P278" s="5"/>
    </row>
    <row r="279" spans="1:16" ht="15.6" x14ac:dyDescent="0.3">
      <c r="A279" s="179"/>
      <c r="B279" s="13" t="s">
        <v>90</v>
      </c>
      <c r="C279" s="13"/>
      <c r="D279" s="123" t="s">
        <v>137</v>
      </c>
      <c r="E279" s="13"/>
      <c r="F279" s="13" t="s">
        <v>142</v>
      </c>
      <c r="G279" s="174"/>
      <c r="H279" s="174"/>
      <c r="I279" s="174"/>
      <c r="J279" s="123"/>
      <c r="K279" s="13"/>
      <c r="L279" s="13"/>
      <c r="M279" s="174"/>
      <c r="N279" s="174"/>
      <c r="O279" s="174"/>
      <c r="P279" s="5"/>
    </row>
    <row r="280" spans="1:16" ht="15.6" x14ac:dyDescent="0.3">
      <c r="A280" s="179"/>
      <c r="B280" s="13"/>
      <c r="C280" s="13"/>
      <c r="D280" s="174"/>
      <c r="E280" s="174"/>
      <c r="F280" s="174"/>
      <c r="G280" s="174"/>
      <c r="H280" s="174"/>
      <c r="I280" s="174"/>
      <c r="J280" s="174"/>
      <c r="K280" s="174"/>
      <c r="L280" s="174"/>
      <c r="M280" s="174"/>
      <c r="N280" s="174"/>
      <c r="O280" s="174"/>
      <c r="P280" s="5"/>
    </row>
    <row r="281" spans="1:16" ht="15.6" x14ac:dyDescent="0.3">
      <c r="A281" s="179"/>
      <c r="B281" s="13"/>
      <c r="C281" s="13"/>
      <c r="D281" s="174"/>
      <c r="E281" s="174"/>
      <c r="F281" s="174"/>
      <c r="G281" s="174"/>
      <c r="H281" s="174"/>
      <c r="I281" s="174"/>
      <c r="J281" s="174"/>
      <c r="K281" s="174"/>
      <c r="L281" s="174"/>
      <c r="M281" s="174"/>
      <c r="N281" s="174"/>
      <c r="O281" s="174"/>
      <c r="P281" s="5"/>
    </row>
    <row r="282" spans="1:16" ht="18" thickBot="1" x14ac:dyDescent="0.35">
      <c r="A282" s="179"/>
      <c r="B282" s="48" t="str">
        <f>B183</f>
        <v>FF7 INVESTOR REPORT QUARTER ENDING NOVEMBER 2008</v>
      </c>
      <c r="C282" s="13"/>
      <c r="D282" s="174"/>
      <c r="E282" s="174"/>
      <c r="F282" s="174"/>
      <c r="G282" s="174"/>
      <c r="H282" s="174"/>
      <c r="I282" s="174"/>
      <c r="J282" s="174"/>
      <c r="K282" s="174"/>
      <c r="L282" s="174"/>
      <c r="M282" s="174"/>
      <c r="N282" s="174"/>
      <c r="O282" s="174"/>
      <c r="P282" s="5"/>
    </row>
    <row r="283" spans="1:16" x14ac:dyDescent="0.25">
      <c r="A283" s="95"/>
      <c r="B283" s="95"/>
      <c r="C283" s="95"/>
      <c r="D283" s="95"/>
      <c r="E283" s="95"/>
      <c r="F283" s="95"/>
      <c r="G283" s="95"/>
      <c r="H283" s="95"/>
      <c r="I283" s="95"/>
      <c r="J283" s="95"/>
      <c r="K283" s="95"/>
      <c r="L283" s="95"/>
      <c r="M283" s="95"/>
      <c r="N283" s="95"/>
      <c r="O283"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3" manualBreakCount="3">
    <brk id="52" max="14" man="1"/>
    <brk id="116" max="14" man="1"/>
    <brk id="183"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sheetPr>
  <dimension ref="A1:IV283"/>
  <sheetViews>
    <sheetView showGridLines="0" showOutlineSymbols="0" zoomScale="70" zoomScaleNormal="70" workbookViewId="0"/>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4.8899999999999999E-2</v>
      </c>
      <c r="L16" s="17" t="s">
        <v>133</v>
      </c>
      <c r="M16" s="129">
        <v>0.95109999999999995</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39895</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74"/>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74"/>
      <c r="N22" s="174"/>
      <c r="O22" s="8"/>
      <c r="P22" s="5"/>
    </row>
    <row r="23" spans="1:16" ht="15.6" x14ac:dyDescent="0.3">
      <c r="A23" s="24"/>
      <c r="B23" s="25" t="s">
        <v>7</v>
      </c>
      <c r="C23" s="26"/>
      <c r="D23" s="26" t="s">
        <v>134</v>
      </c>
      <c r="E23" s="26"/>
      <c r="F23" s="26" t="s">
        <v>152</v>
      </c>
      <c r="G23" s="26"/>
      <c r="H23" s="26" t="s">
        <v>135</v>
      </c>
      <c r="I23" s="26"/>
      <c r="J23" s="26"/>
      <c r="K23" s="26"/>
      <c r="L23" s="26"/>
      <c r="M23" s="175"/>
      <c r="N23" s="175"/>
      <c r="O23" s="25"/>
      <c r="P23" s="5"/>
    </row>
    <row r="24" spans="1:16" ht="15.6" x14ac:dyDescent="0.3">
      <c r="A24" s="28"/>
      <c r="B24" s="124" t="s">
        <v>162</v>
      </c>
      <c r="C24" s="118"/>
      <c r="D24" s="26" t="s">
        <v>134</v>
      </c>
      <c r="E24" s="26"/>
      <c r="F24" s="26" t="s">
        <v>152</v>
      </c>
      <c r="G24" s="26"/>
      <c r="H24" s="26" t="s">
        <v>135</v>
      </c>
      <c r="I24" s="26"/>
      <c r="J24" s="26"/>
      <c r="K24" s="118"/>
      <c r="L24" s="26"/>
      <c r="M24" s="175"/>
      <c r="N24" s="175"/>
      <c r="O24" s="25"/>
      <c r="P24" s="5"/>
    </row>
    <row r="25" spans="1:16" ht="15.6" x14ac:dyDescent="0.3">
      <c r="A25" s="24"/>
      <c r="B25" s="29" t="s">
        <v>163</v>
      </c>
      <c r="C25" s="26"/>
      <c r="D25" s="118" t="s">
        <v>134</v>
      </c>
      <c r="E25" s="118"/>
      <c r="F25" s="118" t="s">
        <v>152</v>
      </c>
      <c r="G25" s="118"/>
      <c r="H25" s="118" t="s">
        <v>135</v>
      </c>
      <c r="I25" s="118"/>
      <c r="J25" s="118"/>
      <c r="K25" s="26"/>
      <c r="L25" s="30"/>
      <c r="M25" s="175"/>
      <c r="N25" s="175"/>
      <c r="O25" s="25"/>
      <c r="P25" s="5"/>
    </row>
    <row r="26" spans="1:16" ht="15.6" x14ac:dyDescent="0.3">
      <c r="A26" s="24"/>
      <c r="B26" s="143" t="s">
        <v>164</v>
      </c>
      <c r="C26" s="26"/>
      <c r="D26" s="118" t="s">
        <v>134</v>
      </c>
      <c r="E26" s="118"/>
      <c r="F26" s="118" t="s">
        <v>152</v>
      </c>
      <c r="G26" s="118"/>
      <c r="H26" s="118" t="s">
        <v>135</v>
      </c>
      <c r="I26" s="118"/>
      <c r="J26" s="118"/>
      <c r="K26" s="26"/>
      <c r="L26" s="30"/>
      <c r="M26" s="175"/>
      <c r="N26" s="175"/>
      <c r="O26" s="25"/>
      <c r="P26" s="5"/>
    </row>
    <row r="27" spans="1:16" ht="15.6" x14ac:dyDescent="0.3">
      <c r="A27" s="24"/>
      <c r="B27" s="25" t="s">
        <v>8</v>
      </c>
      <c r="C27" s="32"/>
      <c r="D27" s="26" t="s">
        <v>218</v>
      </c>
      <c r="E27" s="26"/>
      <c r="F27" s="26" t="s">
        <v>219</v>
      </c>
      <c r="G27" s="26"/>
      <c r="H27" s="26" t="s">
        <v>220</v>
      </c>
      <c r="I27" s="26"/>
      <c r="J27" s="26"/>
      <c r="K27" s="31"/>
      <c r="L27" s="31"/>
      <c r="M27" s="176"/>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145060.57120000001</v>
      </c>
      <c r="E29" s="31"/>
      <c r="F29" s="31">
        <f>F28*F32</f>
        <v>4050</v>
      </c>
      <c r="G29" s="31"/>
      <c r="H29" s="31">
        <f>H28*H32</f>
        <v>4050</v>
      </c>
      <c r="I29" s="31"/>
      <c r="J29" s="119"/>
      <c r="K29" s="31"/>
      <c r="L29" s="31"/>
      <c r="M29" s="176"/>
      <c r="N29" s="31">
        <f>SUM(D29:H29)</f>
        <v>153160.57120000001</v>
      </c>
      <c r="O29" s="34"/>
      <c r="P29" s="5"/>
    </row>
    <row r="30" spans="1:16" ht="15.6" x14ac:dyDescent="0.3">
      <c r="A30" s="24"/>
      <c r="B30" s="29" t="s">
        <v>130</v>
      </c>
      <c r="C30" s="32"/>
      <c r="D30" s="35">
        <f>D28*D31</f>
        <v>138009.09669999999</v>
      </c>
      <c r="E30" s="35"/>
      <c r="F30" s="35">
        <f>F28*F31</f>
        <v>4050</v>
      </c>
      <c r="G30" s="35"/>
      <c r="H30" s="35">
        <f>H28*H31</f>
        <v>4050</v>
      </c>
      <c r="I30" s="35"/>
      <c r="J30" s="120"/>
      <c r="K30" s="31"/>
      <c r="L30" s="31"/>
      <c r="M30" s="176"/>
      <c r="N30" s="145">
        <f>SUM(D30:I30)</f>
        <v>146109.09669999999</v>
      </c>
      <c r="O30" s="34"/>
      <c r="P30" s="5"/>
    </row>
    <row r="31" spans="1:16" ht="15.6" x14ac:dyDescent="0.3">
      <c r="A31" s="24"/>
      <c r="B31" s="117" t="s">
        <v>126</v>
      </c>
      <c r="C31" s="25"/>
      <c r="D31" s="171">
        <v>0.52978539999999996</v>
      </c>
      <c r="E31" s="171"/>
      <c r="F31" s="171">
        <v>1</v>
      </c>
      <c r="G31" s="171"/>
      <c r="H31" s="171">
        <v>1</v>
      </c>
      <c r="I31" s="128"/>
      <c r="J31" s="128"/>
      <c r="K31" s="30"/>
      <c r="L31" s="30"/>
      <c r="M31" s="175"/>
      <c r="N31" s="175"/>
      <c r="O31" s="25"/>
      <c r="P31" s="5"/>
    </row>
    <row r="32" spans="1:16" ht="15.6" x14ac:dyDescent="0.3">
      <c r="A32" s="24"/>
      <c r="B32" s="117" t="s">
        <v>127</v>
      </c>
      <c r="C32" s="25"/>
      <c r="D32" s="171">
        <v>0.55685439999999997</v>
      </c>
      <c r="E32" s="171"/>
      <c r="F32" s="171">
        <v>1</v>
      </c>
      <c r="G32" s="171"/>
      <c r="H32" s="171">
        <v>1</v>
      </c>
      <c r="I32" s="128"/>
      <c r="J32" s="128"/>
      <c r="K32" s="39"/>
      <c r="L32" s="38"/>
      <c r="M32" s="175"/>
      <c r="N32" s="39"/>
      <c r="O32" s="25"/>
      <c r="P32" s="5"/>
    </row>
    <row r="33" spans="1:17" ht="15.6" x14ac:dyDescent="0.3">
      <c r="A33" s="24"/>
      <c r="B33" s="25" t="s">
        <v>9</v>
      </c>
      <c r="C33" s="25"/>
      <c r="D33" s="30" t="s">
        <v>192</v>
      </c>
      <c r="E33" s="30"/>
      <c r="F33" s="30" t="s">
        <v>194</v>
      </c>
      <c r="G33" s="30"/>
      <c r="H33" s="30" t="s">
        <v>196</v>
      </c>
      <c r="I33" s="30"/>
      <c r="J33" s="30"/>
      <c r="K33" s="39"/>
      <c r="L33" s="38"/>
      <c r="M33" s="175"/>
      <c r="N33" s="175"/>
      <c r="O33" s="25"/>
      <c r="P33" s="5"/>
    </row>
    <row r="34" spans="1:17" ht="15.6" x14ac:dyDescent="0.3">
      <c r="A34" s="24"/>
      <c r="B34" s="25" t="s">
        <v>10</v>
      </c>
      <c r="C34" s="25"/>
      <c r="D34" s="38">
        <v>3.2524999999999998E-2</v>
      </c>
      <c r="E34" s="39"/>
      <c r="F34" s="38">
        <v>3.3125000000000002E-2</v>
      </c>
      <c r="G34" s="39"/>
      <c r="H34" s="38">
        <v>3.4125000000000003E-2</v>
      </c>
      <c r="I34" s="39"/>
      <c r="J34" s="38"/>
      <c r="K34" s="39"/>
      <c r="L34" s="38"/>
      <c r="M34" s="175"/>
      <c r="N34" s="39">
        <f>SUMPRODUCT(D34:H34,D29:H29)/N29</f>
        <v>3.2583174241126098E-2</v>
      </c>
      <c r="O34" s="25"/>
      <c r="P34" s="5"/>
    </row>
    <row r="35" spans="1:17" ht="15.6" x14ac:dyDescent="0.3">
      <c r="A35" s="24"/>
      <c r="B35" s="25" t="s">
        <v>11</v>
      </c>
      <c r="C35" s="25"/>
      <c r="D35" s="38">
        <v>5.8349999999999999E-2</v>
      </c>
      <c r="E35" s="39"/>
      <c r="F35" s="38">
        <v>5.8950000000000002E-2</v>
      </c>
      <c r="G35" s="39"/>
      <c r="H35" s="38">
        <v>5.9950000000000003E-2</v>
      </c>
      <c r="I35" s="38"/>
      <c r="J35" s="38"/>
      <c r="K35" s="39"/>
      <c r="L35" s="38"/>
      <c r="M35" s="175"/>
      <c r="N35" s="39" t="s">
        <v>165</v>
      </c>
      <c r="O35" s="25"/>
      <c r="P35" s="5"/>
    </row>
    <row r="36" spans="1:17" ht="15.6" x14ac:dyDescent="0.3">
      <c r="A36" s="24"/>
      <c r="B36" s="25" t="s">
        <v>12</v>
      </c>
      <c r="C36" s="25"/>
      <c r="D36" s="105">
        <v>40617</v>
      </c>
      <c r="E36" s="105"/>
      <c r="F36" s="105">
        <v>40617</v>
      </c>
      <c r="G36" s="105"/>
      <c r="H36" s="105">
        <v>40617</v>
      </c>
      <c r="I36" s="105"/>
      <c r="J36" s="105"/>
      <c r="K36" s="30"/>
      <c r="L36" s="30"/>
      <c r="M36" s="175"/>
      <c r="N36" s="175"/>
      <c r="O36" s="25"/>
      <c r="P36" s="5"/>
    </row>
    <row r="37" spans="1:17" ht="15.6" x14ac:dyDescent="0.3">
      <c r="A37" s="24"/>
      <c r="B37" s="25" t="s">
        <v>13</v>
      </c>
      <c r="C37" s="25"/>
      <c r="D37" s="105">
        <v>40983</v>
      </c>
      <c r="E37" s="30"/>
      <c r="F37" s="105">
        <v>40983</v>
      </c>
      <c r="G37" s="30"/>
      <c r="H37" s="105">
        <v>40983</v>
      </c>
      <c r="I37" s="30"/>
      <c r="J37" s="105"/>
      <c r="K37" s="30"/>
      <c r="L37" s="30"/>
      <c r="M37" s="175"/>
      <c r="N37" s="175"/>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0"/>
      <c r="G39" s="30"/>
      <c r="H39" s="30"/>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5.869178332213517E-2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39888</v>
      </c>
      <c r="O45" s="25"/>
      <c r="P45" s="5"/>
    </row>
    <row r="46" spans="1:17" ht="15.6" x14ac:dyDescent="0.3">
      <c r="A46" s="24"/>
      <c r="B46" s="25" t="s">
        <v>119</v>
      </c>
      <c r="C46" s="25"/>
      <c r="D46" s="56"/>
      <c r="E46" s="56"/>
      <c r="F46" s="56"/>
      <c r="G46" s="56"/>
      <c r="H46" s="56"/>
      <c r="I46" s="56"/>
      <c r="J46" s="25">
        <f>+N46-L46+1</f>
        <v>91</v>
      </c>
      <c r="K46" s="56"/>
      <c r="L46" s="44">
        <v>39706</v>
      </c>
      <c r="M46" s="45"/>
      <c r="N46" s="44">
        <v>39796</v>
      </c>
      <c r="O46" s="25"/>
      <c r="P46" s="5"/>
    </row>
    <row r="47" spans="1:17" ht="15.6" x14ac:dyDescent="0.3">
      <c r="A47" s="24"/>
      <c r="B47" s="25" t="s">
        <v>120</v>
      </c>
      <c r="C47" s="25"/>
      <c r="D47" s="25"/>
      <c r="E47" s="25"/>
      <c r="F47" s="25"/>
      <c r="G47" s="25"/>
      <c r="H47" s="25"/>
      <c r="I47" s="25"/>
      <c r="J47" s="25">
        <f>+N47-L47+1</f>
        <v>91</v>
      </c>
      <c r="K47" s="25"/>
      <c r="L47" s="44">
        <v>39797</v>
      </c>
      <c r="M47" s="45"/>
      <c r="N47" s="44">
        <v>39887</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39874</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249</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153161</v>
      </c>
      <c r="G57" s="34"/>
      <c r="H57" s="34">
        <f>7052+2018+998</f>
        <v>10068</v>
      </c>
      <c r="I57" s="34"/>
      <c r="J57" s="34">
        <f>2018+998</f>
        <v>3016</v>
      </c>
      <c r="K57" s="34"/>
      <c r="L57" s="34">
        <v>0</v>
      </c>
      <c r="M57" s="34"/>
      <c r="N57" s="52">
        <f>+F57-H57+J57-L57</f>
        <v>146109</v>
      </c>
      <c r="O57" s="25"/>
      <c r="P57" s="5"/>
    </row>
    <row r="58" spans="1:16" ht="15.6" x14ac:dyDescent="0.3">
      <c r="A58" s="24"/>
      <c r="B58" s="25" t="s">
        <v>209</v>
      </c>
      <c r="C58" s="34"/>
      <c r="D58" s="34">
        <v>756</v>
      </c>
      <c r="E58" s="34"/>
      <c r="F58" s="52">
        <v>530</v>
      </c>
      <c r="G58" s="34"/>
      <c r="H58" s="34">
        <v>6</v>
      </c>
      <c r="I58" s="34"/>
      <c r="J58" s="34">
        <v>0</v>
      </c>
      <c r="K58" s="34"/>
      <c r="L58" s="34">
        <v>0</v>
      </c>
      <c r="M58" s="34"/>
      <c r="N58" s="52">
        <f>+F58-H58</f>
        <v>524</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153691</v>
      </c>
      <c r="G60" s="34"/>
      <c r="H60" s="34">
        <f>SUM(H57:H59)</f>
        <v>10074</v>
      </c>
      <c r="I60" s="34"/>
      <c r="J60" s="34">
        <f>SUM(J57:J59)</f>
        <v>3016</v>
      </c>
      <c r="K60" s="34"/>
      <c r="L60" s="34">
        <f>SUM(L57:L59)</f>
        <v>0</v>
      </c>
      <c r="M60" s="34"/>
      <c r="N60" s="53">
        <f>SUM(N57:N59)</f>
        <v>146633</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-530</v>
      </c>
      <c r="G69" s="34"/>
      <c r="H69" s="34"/>
      <c r="I69" s="34"/>
      <c r="J69" s="34"/>
      <c r="K69" s="34"/>
      <c r="L69" s="34"/>
      <c r="M69" s="34"/>
      <c r="N69" s="52">
        <f>-N58</f>
        <v>-524</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0</v>
      </c>
      <c r="G71" s="34"/>
      <c r="H71" s="34">
        <v>0</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153161</v>
      </c>
      <c r="G73" s="34"/>
      <c r="H73" s="34"/>
      <c r="I73" s="34"/>
      <c r="J73" s="34"/>
      <c r="K73" s="34"/>
      <c r="L73" s="53"/>
      <c r="M73" s="34"/>
      <c r="N73" s="53">
        <f>SUM(N60:N72)</f>
        <v>146109</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+L184</f>
        <v>39871</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0</v>
      </c>
      <c r="M77" s="25"/>
      <c r="N77" s="52">
        <v>0</v>
      </c>
      <c r="O77" s="25"/>
      <c r="P77" s="5"/>
    </row>
    <row r="78" spans="1:16" ht="15.6" x14ac:dyDescent="0.3">
      <c r="A78" s="24"/>
      <c r="B78" s="25" t="s">
        <v>27</v>
      </c>
      <c r="C78" s="25"/>
      <c r="D78" s="40"/>
      <c r="E78" s="25"/>
      <c r="F78" s="121"/>
      <c r="G78" s="25"/>
      <c r="H78" s="25"/>
      <c r="I78" s="25"/>
      <c r="J78" s="25"/>
      <c r="K78" s="25"/>
      <c r="L78" s="34">
        <f>10068+4</f>
        <v>10072</v>
      </c>
      <c r="M78" s="25"/>
      <c r="N78" s="52"/>
      <c r="O78" s="25"/>
      <c r="P78" s="5"/>
    </row>
    <row r="79" spans="1:16" ht="15.6" x14ac:dyDescent="0.3">
      <c r="A79" s="24"/>
      <c r="B79" s="25" t="s">
        <v>176</v>
      </c>
      <c r="C79" s="25"/>
      <c r="D79" s="40"/>
      <c r="E79" s="25"/>
      <c r="F79" s="121"/>
      <c r="G79" s="25"/>
      <c r="H79" s="25"/>
      <c r="I79" s="25"/>
      <c r="J79" s="25"/>
      <c r="K79" s="25"/>
      <c r="L79" s="34"/>
      <c r="M79" s="25"/>
      <c r="N79" s="52">
        <f>3898+162+1851-4603-83-735</f>
        <v>490</v>
      </c>
      <c r="O79" s="25"/>
      <c r="P79" s="5"/>
    </row>
    <row r="80" spans="1:16" ht="15.6" x14ac:dyDescent="0.3">
      <c r="A80" s="24"/>
      <c r="B80" s="25" t="s">
        <v>174</v>
      </c>
      <c r="C80" s="25"/>
      <c r="D80" s="40"/>
      <c r="E80" s="25"/>
      <c r="F80" s="121"/>
      <c r="G80" s="25"/>
      <c r="H80" s="25"/>
      <c r="I80" s="25"/>
      <c r="J80" s="25"/>
      <c r="K80" s="25"/>
      <c r="L80" s="34"/>
      <c r="M80" s="25"/>
      <c r="N80" s="52">
        <f>162+1+18</f>
        <v>181</v>
      </c>
      <c r="O80" s="25"/>
      <c r="P80" s="5"/>
    </row>
    <row r="81" spans="1:17" ht="15.6" x14ac:dyDescent="0.3">
      <c r="A81" s="24"/>
      <c r="B81" s="25" t="s">
        <v>175</v>
      </c>
      <c r="C81" s="25"/>
      <c r="D81" s="40"/>
      <c r="E81" s="25"/>
      <c r="F81" s="121"/>
      <c r="G81" s="25"/>
      <c r="H81" s="25"/>
      <c r="I81" s="25"/>
      <c r="J81" s="25"/>
      <c r="K81" s="25"/>
      <c r="L81" s="34"/>
      <c r="M81" s="25"/>
      <c r="N81" s="52">
        <v>43</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0</v>
      </c>
      <c r="O83" s="25"/>
      <c r="P83" s="5"/>
    </row>
    <row r="84" spans="1:17" ht="15.6" x14ac:dyDescent="0.3">
      <c r="A84" s="24"/>
      <c r="B84" s="25" t="s">
        <v>28</v>
      </c>
      <c r="C84" s="25"/>
      <c r="D84" s="25"/>
      <c r="E84" s="25"/>
      <c r="F84" s="25"/>
      <c r="G84" s="25"/>
      <c r="H84" s="25"/>
      <c r="I84" s="25"/>
      <c r="J84" s="25"/>
      <c r="K84" s="25"/>
      <c r="L84" s="34">
        <f>SUM(L77:L83)</f>
        <v>10072</v>
      </c>
      <c r="M84" s="25"/>
      <c r="N84" s="53">
        <f>SUM(N77:N83)</f>
        <v>714</v>
      </c>
      <c r="O84" s="25"/>
      <c r="P84" s="5"/>
    </row>
    <row r="85" spans="1:17" ht="15.6" x14ac:dyDescent="0.3">
      <c r="A85" s="24"/>
      <c r="B85" s="25" t="s">
        <v>148</v>
      </c>
      <c r="C85" s="25"/>
      <c r="D85" s="25"/>
      <c r="E85" s="25"/>
      <c r="F85" s="25"/>
      <c r="G85" s="25"/>
      <c r="H85" s="25"/>
      <c r="I85" s="25"/>
      <c r="J85" s="25"/>
      <c r="K85" s="25"/>
      <c r="L85" s="34">
        <v>-2018</v>
      </c>
      <c r="M85" s="25"/>
      <c r="N85" s="53">
        <f>-L85</f>
        <v>2018</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244</v>
      </c>
      <c r="C87" s="25"/>
      <c r="D87" s="25"/>
      <c r="E87" s="25"/>
      <c r="F87" s="25"/>
      <c r="G87" s="25"/>
      <c r="H87" s="25"/>
      <c r="I87" s="25"/>
      <c r="J87" s="25"/>
      <c r="K87" s="25"/>
      <c r="L87" s="34"/>
      <c r="M87" s="25"/>
      <c r="N87" s="52">
        <v>0</v>
      </c>
      <c r="O87" s="25"/>
      <c r="P87" s="5"/>
    </row>
    <row r="88" spans="1:17" ht="15.6" x14ac:dyDescent="0.3">
      <c r="A88" s="24"/>
      <c r="B88" s="25" t="s">
        <v>30</v>
      </c>
      <c r="C88" s="25"/>
      <c r="D88" s="25"/>
      <c r="E88" s="25"/>
      <c r="F88" s="25"/>
      <c r="G88" s="25"/>
      <c r="H88" s="25"/>
      <c r="I88" s="25"/>
      <c r="J88" s="25"/>
      <c r="K88" s="25"/>
      <c r="L88" s="34">
        <f>L84+L86+L85</f>
        <v>8054</v>
      </c>
      <c r="M88" s="25"/>
      <c r="N88" s="53">
        <f>N84+N86+N85+N87</f>
        <v>2732</v>
      </c>
      <c r="O88" s="25"/>
      <c r="P88" s="5"/>
    </row>
    <row r="89" spans="1:17" ht="15.6" x14ac:dyDescent="0.3">
      <c r="A89" s="24"/>
      <c r="B89" s="113" t="s">
        <v>31</v>
      </c>
      <c r="C89" s="25"/>
      <c r="D89" s="25"/>
      <c r="E89" s="25"/>
      <c r="F89" s="25"/>
      <c r="G89" s="25"/>
      <c r="H89" s="25"/>
      <c r="I89" s="25"/>
      <c r="J89" s="25"/>
      <c r="K89" s="25"/>
      <c r="L89" s="34"/>
      <c r="M89" s="25"/>
      <c r="N89" s="52"/>
      <c r="O89" s="25"/>
      <c r="P89" s="5"/>
    </row>
    <row r="90" spans="1:17" ht="15.6" x14ac:dyDescent="0.3">
      <c r="A90" s="24">
        <v>1</v>
      </c>
      <c r="B90" s="25" t="s">
        <v>32</v>
      </c>
      <c r="C90" s="25"/>
      <c r="D90" s="25"/>
      <c r="E90" s="25"/>
      <c r="F90" s="25"/>
      <c r="G90" s="25"/>
      <c r="H90" s="25"/>
      <c r="I90" s="25"/>
      <c r="J90" s="25"/>
      <c r="K90" s="25"/>
      <c r="L90" s="25"/>
      <c r="M90" s="25"/>
      <c r="N90" s="52">
        <v>0</v>
      </c>
      <c r="O90" s="25"/>
      <c r="P90" s="5"/>
    </row>
    <row r="91" spans="1:17" ht="15.6" x14ac:dyDescent="0.3">
      <c r="A91" s="24">
        <f>+A90+1</f>
        <v>2</v>
      </c>
      <c r="B91" s="25" t="s">
        <v>224</v>
      </c>
      <c r="C91" s="25"/>
      <c r="D91" s="25"/>
      <c r="E91" s="25"/>
      <c r="F91" s="25"/>
      <c r="G91" s="25"/>
      <c r="H91" s="25"/>
      <c r="I91" s="25"/>
      <c r="J91" s="25"/>
      <c r="K91" s="25"/>
      <c r="L91" s="25"/>
      <c r="M91" s="25"/>
      <c r="N91" s="52">
        <v>-2</v>
      </c>
      <c r="O91" s="25"/>
      <c r="P91" s="5"/>
    </row>
    <row r="92" spans="1:17" ht="15.6" x14ac:dyDescent="0.3">
      <c r="A92" s="24">
        <f>+A91+1</f>
        <v>3</v>
      </c>
      <c r="B92" s="25" t="s">
        <v>235</v>
      </c>
      <c r="C92" s="25"/>
      <c r="D92" s="25"/>
      <c r="E92" s="25"/>
      <c r="F92" s="25"/>
      <c r="G92" s="25"/>
      <c r="H92" s="25"/>
      <c r="I92" s="25"/>
      <c r="J92" s="25"/>
      <c r="K92" s="25"/>
      <c r="L92" s="25"/>
      <c r="M92" s="25"/>
      <c r="N92" s="52">
        <f>-56-3-2-5</f>
        <v>-66</v>
      </c>
      <c r="O92" s="25"/>
      <c r="P92" s="5"/>
    </row>
    <row r="93" spans="1:17" ht="15.6" x14ac:dyDescent="0.3">
      <c r="A93" s="24" t="s">
        <v>123</v>
      </c>
      <c r="B93" s="25" t="s">
        <v>116</v>
      </c>
      <c r="C93" s="25"/>
      <c r="D93" s="25"/>
      <c r="E93" s="25"/>
      <c r="F93" s="25"/>
      <c r="G93" s="25"/>
      <c r="H93" s="25"/>
      <c r="I93" s="25"/>
      <c r="J93" s="25"/>
      <c r="K93" s="25"/>
      <c r="L93" s="25"/>
      <c r="M93" s="25"/>
      <c r="N93" s="52">
        <v>0</v>
      </c>
      <c r="O93" s="25"/>
      <c r="P93" s="5"/>
    </row>
    <row r="94" spans="1:17" ht="15.6" x14ac:dyDescent="0.3">
      <c r="A94" s="24" t="s">
        <v>124</v>
      </c>
      <c r="B94" s="25" t="s">
        <v>214</v>
      </c>
      <c r="C94" s="25"/>
      <c r="D94" s="25"/>
      <c r="E94" s="25"/>
      <c r="F94" s="25"/>
      <c r="G94" s="25"/>
      <c r="H94" s="25"/>
      <c r="I94" s="25"/>
      <c r="J94" s="25"/>
      <c r="K94" s="25"/>
      <c r="L94" s="25"/>
      <c r="M94" s="25"/>
      <c r="N94" s="52">
        <v>-1176</v>
      </c>
      <c r="O94" s="25"/>
      <c r="P94" s="5"/>
    </row>
    <row r="95" spans="1:17" ht="15.6" x14ac:dyDescent="0.3">
      <c r="A95" s="24" t="s">
        <v>140</v>
      </c>
      <c r="B95" s="25" t="s">
        <v>180</v>
      </c>
      <c r="C95" s="25"/>
      <c r="D95" s="25"/>
      <c r="E95" s="25"/>
      <c r="F95" s="25"/>
      <c r="G95" s="25"/>
      <c r="H95" s="25"/>
      <c r="I95" s="25"/>
      <c r="J95" s="25"/>
      <c r="K95" s="25"/>
      <c r="L95" s="25"/>
      <c r="M95" s="25"/>
      <c r="N95" s="52">
        <v>-1</v>
      </c>
      <c r="O95" s="25"/>
      <c r="P95" s="5"/>
    </row>
    <row r="96" spans="1:17" ht="15.6" x14ac:dyDescent="0.3">
      <c r="A96" s="24" t="s">
        <v>169</v>
      </c>
      <c r="B96" s="25" t="s">
        <v>215</v>
      </c>
      <c r="C96" s="25"/>
      <c r="D96" s="25"/>
      <c r="E96" s="25"/>
      <c r="F96" s="25"/>
      <c r="G96" s="25"/>
      <c r="H96" s="25"/>
      <c r="I96" s="25"/>
      <c r="J96" s="25"/>
      <c r="K96" s="25"/>
      <c r="L96" s="25"/>
      <c r="M96" s="25"/>
      <c r="N96" s="52">
        <v>-33</v>
      </c>
      <c r="O96" s="25"/>
      <c r="P96" s="5"/>
      <c r="Q96" s="104"/>
    </row>
    <row r="97" spans="1:17" ht="15.6" x14ac:dyDescent="0.3">
      <c r="A97" s="24" t="s">
        <v>170</v>
      </c>
      <c r="B97" s="25" t="s">
        <v>216</v>
      </c>
      <c r="C97" s="25"/>
      <c r="D97" s="25"/>
      <c r="E97" s="25"/>
      <c r="F97" s="25"/>
      <c r="G97" s="25"/>
      <c r="H97" s="25"/>
      <c r="I97" s="25"/>
      <c r="J97" s="25"/>
      <c r="K97" s="25"/>
      <c r="L97" s="25"/>
      <c r="M97" s="25"/>
      <c r="N97" s="52">
        <v>-34</v>
      </c>
      <c r="O97" s="25"/>
      <c r="P97" s="5"/>
      <c r="Q97" s="104"/>
    </row>
    <row r="98" spans="1:17" ht="15.6" x14ac:dyDescent="0.3">
      <c r="A98" s="24">
        <v>7</v>
      </c>
      <c r="B98" s="25" t="s">
        <v>33</v>
      </c>
      <c r="C98" s="25"/>
      <c r="D98" s="25"/>
      <c r="E98" s="25"/>
      <c r="F98" s="25"/>
      <c r="G98" s="25"/>
      <c r="H98" s="25"/>
      <c r="I98" s="25"/>
      <c r="J98" s="25"/>
      <c r="K98" s="25"/>
      <c r="L98" s="25"/>
      <c r="M98" s="25"/>
      <c r="N98" s="52">
        <v>-9</v>
      </c>
      <c r="O98" s="25"/>
      <c r="P98" s="5"/>
    </row>
    <row r="99" spans="1:17" ht="15.6" x14ac:dyDescent="0.3">
      <c r="A99" s="24">
        <f t="shared" ref="A99:A105" si="0">+A98+1</f>
        <v>8</v>
      </c>
      <c r="B99" s="25" t="s">
        <v>42</v>
      </c>
      <c r="C99" s="25"/>
      <c r="D99" s="25"/>
      <c r="E99" s="25"/>
      <c r="F99" s="25"/>
      <c r="G99" s="25"/>
      <c r="H99" s="25"/>
      <c r="I99" s="25"/>
      <c r="J99" s="25"/>
      <c r="K99" s="25"/>
      <c r="L99" s="34">
        <f>-N99</f>
        <v>-4</v>
      </c>
      <c r="M99" s="25"/>
      <c r="N99" s="52">
        <v>4</v>
      </c>
      <c r="O99" s="25"/>
      <c r="P99" s="5"/>
    </row>
    <row r="100" spans="1:17" ht="15.6" x14ac:dyDescent="0.3">
      <c r="A100" s="24">
        <f t="shared" si="0"/>
        <v>9</v>
      </c>
      <c r="B100" s="25" t="s">
        <v>121</v>
      </c>
      <c r="C100" s="25"/>
      <c r="D100" s="25"/>
      <c r="E100" s="25"/>
      <c r="F100" s="25"/>
      <c r="G100" s="25"/>
      <c r="H100" s="25"/>
      <c r="I100" s="25"/>
      <c r="J100" s="25"/>
      <c r="K100" s="25"/>
      <c r="L100" s="25"/>
      <c r="M100" s="25"/>
      <c r="N100" s="52">
        <v>0</v>
      </c>
      <c r="O100" s="25"/>
      <c r="P100" s="5"/>
    </row>
    <row r="101" spans="1:17" ht="15.6" x14ac:dyDescent="0.3">
      <c r="A101" s="24">
        <f t="shared" si="0"/>
        <v>10</v>
      </c>
      <c r="B101" s="25" t="s">
        <v>182</v>
      </c>
      <c r="C101" s="25"/>
      <c r="D101" s="25"/>
      <c r="E101" s="25"/>
      <c r="F101" s="25"/>
      <c r="G101" s="25"/>
      <c r="H101" s="25"/>
      <c r="I101" s="25"/>
      <c r="J101" s="25"/>
      <c r="K101" s="25"/>
      <c r="L101" s="25"/>
      <c r="M101" s="25"/>
      <c r="N101" s="52">
        <v>0</v>
      </c>
      <c r="O101" s="25"/>
      <c r="P101" s="5"/>
    </row>
    <row r="102" spans="1:17" ht="15.6" x14ac:dyDescent="0.3">
      <c r="A102" s="24">
        <f t="shared" si="0"/>
        <v>11</v>
      </c>
      <c r="B102" s="25" t="s">
        <v>34</v>
      </c>
      <c r="C102" s="25"/>
      <c r="D102" s="25"/>
      <c r="E102" s="25"/>
      <c r="F102" s="25"/>
      <c r="G102" s="25"/>
      <c r="H102" s="25"/>
      <c r="I102" s="25"/>
      <c r="J102" s="25"/>
      <c r="K102" s="25"/>
      <c r="L102" s="25"/>
      <c r="M102" s="25"/>
      <c r="N102" s="52">
        <v>0</v>
      </c>
      <c r="O102" s="25"/>
      <c r="P102" s="5"/>
    </row>
    <row r="103" spans="1:17" ht="15.6" x14ac:dyDescent="0.3">
      <c r="A103" s="24">
        <f t="shared" si="0"/>
        <v>12</v>
      </c>
      <c r="B103" s="25" t="s">
        <v>181</v>
      </c>
      <c r="C103" s="25"/>
      <c r="D103" s="25"/>
      <c r="E103" s="25"/>
      <c r="F103" s="25"/>
      <c r="G103" s="25"/>
      <c r="H103" s="25"/>
      <c r="I103" s="25"/>
      <c r="J103" s="25"/>
      <c r="K103" s="25"/>
      <c r="L103" s="25"/>
      <c r="M103" s="25"/>
      <c r="N103" s="52">
        <v>0</v>
      </c>
      <c r="O103" s="25"/>
      <c r="P103" s="5"/>
    </row>
    <row r="104" spans="1:17" ht="15.6" x14ac:dyDescent="0.3">
      <c r="A104" s="24">
        <f t="shared" si="0"/>
        <v>13</v>
      </c>
      <c r="B104" s="25" t="s">
        <v>139</v>
      </c>
      <c r="C104" s="25"/>
      <c r="D104" s="25"/>
      <c r="E104" s="25"/>
      <c r="F104" s="25"/>
      <c r="G104" s="25"/>
      <c r="H104" s="25"/>
      <c r="I104" s="25"/>
      <c r="J104" s="25"/>
      <c r="K104" s="25"/>
      <c r="L104" s="25"/>
      <c r="M104" s="25"/>
      <c r="N104" s="52">
        <v>-57</v>
      </c>
      <c r="O104" s="25"/>
      <c r="P104" s="5"/>
    </row>
    <row r="105" spans="1:17" ht="15.6" x14ac:dyDescent="0.3">
      <c r="A105" s="24">
        <f t="shared" si="0"/>
        <v>14</v>
      </c>
      <c r="B105" s="25" t="s">
        <v>122</v>
      </c>
      <c r="C105" s="25"/>
      <c r="D105" s="25"/>
      <c r="E105" s="25"/>
      <c r="F105" s="25"/>
      <c r="G105" s="25"/>
      <c r="H105" s="25"/>
      <c r="I105" s="25"/>
      <c r="J105" s="25"/>
      <c r="K105" s="25"/>
      <c r="L105" s="25"/>
      <c r="M105" s="25"/>
      <c r="N105" s="52">
        <f>-N88-SUM(N90:N104)</f>
        <v>-1358</v>
      </c>
      <c r="O105" s="25"/>
      <c r="P105" s="5"/>
    </row>
    <row r="106" spans="1:17" ht="15.6" x14ac:dyDescent="0.3">
      <c r="A106" s="24"/>
      <c r="B106" s="113" t="s">
        <v>35</v>
      </c>
      <c r="C106" s="25"/>
      <c r="D106" s="25"/>
      <c r="E106" s="25"/>
      <c r="F106" s="25"/>
      <c r="G106" s="25"/>
      <c r="H106" s="25"/>
      <c r="I106" s="25"/>
      <c r="J106" s="25"/>
      <c r="K106" s="25"/>
      <c r="L106" s="25"/>
      <c r="M106" s="25"/>
      <c r="N106" s="57"/>
      <c r="O106" s="25"/>
      <c r="P106" s="5"/>
    </row>
    <row r="107" spans="1:17" ht="15.6" x14ac:dyDescent="0.3">
      <c r="A107" s="24"/>
      <c r="B107" s="25" t="s">
        <v>160</v>
      </c>
      <c r="C107" s="25"/>
      <c r="D107" s="25"/>
      <c r="E107" s="25"/>
      <c r="F107" s="25"/>
      <c r="G107" s="25"/>
      <c r="H107" s="25"/>
      <c r="I107" s="25"/>
      <c r="J107" s="25"/>
      <c r="K107" s="25"/>
      <c r="L107" s="34">
        <v>0</v>
      </c>
      <c r="M107" s="34"/>
      <c r="N107" s="52"/>
      <c r="O107" s="25"/>
      <c r="P107" s="5"/>
    </row>
    <row r="108" spans="1:17" ht="15.6" x14ac:dyDescent="0.3">
      <c r="A108" s="24"/>
      <c r="B108" s="25" t="s">
        <v>161</v>
      </c>
      <c r="C108" s="25"/>
      <c r="D108" s="25"/>
      <c r="E108" s="25"/>
      <c r="F108" s="25"/>
      <c r="G108" s="25"/>
      <c r="H108" s="25"/>
      <c r="I108" s="25"/>
      <c r="J108" s="25"/>
      <c r="K108" s="25"/>
      <c r="L108" s="34">
        <v>-998</v>
      </c>
      <c r="M108" s="34"/>
      <c r="N108" s="52"/>
      <c r="O108" s="25"/>
      <c r="P108" s="5"/>
    </row>
    <row r="109" spans="1:17" ht="15.6" x14ac:dyDescent="0.3">
      <c r="A109" s="24"/>
      <c r="B109" s="25" t="s">
        <v>200</v>
      </c>
      <c r="C109" s="25"/>
      <c r="D109" s="25"/>
      <c r="E109" s="25"/>
      <c r="F109" s="25"/>
      <c r="G109" s="25"/>
      <c r="H109" s="25"/>
      <c r="I109" s="25"/>
      <c r="J109" s="25"/>
      <c r="K109" s="25"/>
      <c r="L109" s="34">
        <v>-7052</v>
      </c>
      <c r="M109" s="34"/>
      <c r="N109" s="52"/>
      <c r="O109" s="25"/>
      <c r="P109" s="5"/>
    </row>
    <row r="110" spans="1:17" ht="15.6" x14ac:dyDescent="0.3">
      <c r="A110" s="24"/>
      <c r="B110" s="25" t="s">
        <v>201</v>
      </c>
      <c r="C110" s="25"/>
      <c r="D110" s="25"/>
      <c r="E110" s="25"/>
      <c r="F110" s="25"/>
      <c r="G110" s="25"/>
      <c r="H110" s="25"/>
      <c r="I110" s="25"/>
      <c r="J110" s="25"/>
      <c r="K110" s="25"/>
      <c r="L110" s="34">
        <v>0</v>
      </c>
      <c r="M110" s="34"/>
      <c r="N110" s="52"/>
      <c r="O110" s="25"/>
      <c r="P110" s="5"/>
    </row>
    <row r="111" spans="1:17" ht="15.6" x14ac:dyDescent="0.3">
      <c r="A111" s="24"/>
      <c r="B111" s="25" t="s">
        <v>202</v>
      </c>
      <c r="C111" s="25"/>
      <c r="D111" s="25"/>
      <c r="E111" s="25"/>
      <c r="F111" s="25"/>
      <c r="G111" s="25"/>
      <c r="H111" s="25"/>
      <c r="I111" s="25"/>
      <c r="J111" s="25"/>
      <c r="K111" s="25"/>
      <c r="L111" s="34">
        <v>0</v>
      </c>
      <c r="M111" s="34"/>
      <c r="N111" s="52"/>
      <c r="O111" s="25"/>
      <c r="P111" s="5"/>
    </row>
    <row r="112" spans="1:17" ht="15.6" x14ac:dyDescent="0.3">
      <c r="A112" s="24"/>
      <c r="B112" s="25" t="s">
        <v>36</v>
      </c>
      <c r="C112" s="25"/>
      <c r="D112" s="25"/>
      <c r="E112" s="25"/>
      <c r="F112" s="25"/>
      <c r="G112" s="25"/>
      <c r="H112" s="25"/>
      <c r="I112" s="25"/>
      <c r="J112" s="25"/>
      <c r="K112" s="25"/>
      <c r="L112" s="34">
        <f>SUM(L107:L111)</f>
        <v>-8050</v>
      </c>
      <c r="M112" s="34"/>
      <c r="N112" s="34">
        <f>SUM(N89:N110)</f>
        <v>-2732</v>
      </c>
      <c r="O112" s="25"/>
      <c r="P112" s="5"/>
    </row>
    <row r="113" spans="1:17" ht="15.6" x14ac:dyDescent="0.3">
      <c r="A113" s="24"/>
      <c r="B113" s="25" t="s">
        <v>37</v>
      </c>
      <c r="C113" s="25"/>
      <c r="D113" s="25"/>
      <c r="E113" s="25"/>
      <c r="F113" s="25"/>
      <c r="G113" s="25"/>
      <c r="H113" s="25"/>
      <c r="I113" s="25"/>
      <c r="J113" s="25"/>
      <c r="K113" s="25"/>
      <c r="L113" s="34">
        <f>L88+L112+L99</f>
        <v>0</v>
      </c>
      <c r="M113" s="34"/>
      <c r="N113" s="34">
        <f>N88+N112</f>
        <v>0</v>
      </c>
      <c r="O113" s="25"/>
      <c r="P113" s="5"/>
    </row>
    <row r="114" spans="1:17" ht="15.6" x14ac:dyDescent="0.3">
      <c r="A114" s="24"/>
      <c r="B114" s="25"/>
      <c r="C114" s="25"/>
      <c r="D114" s="25"/>
      <c r="E114" s="25"/>
      <c r="F114" s="25"/>
      <c r="G114" s="25"/>
      <c r="H114" s="25"/>
      <c r="I114" s="25"/>
      <c r="J114" s="25"/>
      <c r="K114" s="25"/>
      <c r="L114" s="34"/>
      <c r="M114" s="34"/>
      <c r="N114" s="34"/>
      <c r="O114" s="25"/>
      <c r="P114" s="5"/>
    </row>
    <row r="115" spans="1:17" ht="15.6" x14ac:dyDescent="0.3">
      <c r="A115" s="6"/>
      <c r="B115" s="8"/>
      <c r="C115" s="8"/>
      <c r="D115" s="8"/>
      <c r="E115" s="8"/>
      <c r="F115" s="8"/>
      <c r="G115" s="8"/>
      <c r="H115" s="8"/>
      <c r="I115" s="8"/>
      <c r="J115" s="8"/>
      <c r="K115" s="8"/>
      <c r="L115" s="8"/>
      <c r="M115" s="8"/>
      <c r="N115" s="51"/>
      <c r="O115" s="8"/>
      <c r="P115" s="5"/>
    </row>
    <row r="116" spans="1:17" ht="18" thickBot="1" x14ac:dyDescent="0.35">
      <c r="A116" s="96"/>
      <c r="B116" s="97" t="str">
        <f>B52</f>
        <v>FF7 INVESTOR REPORT QUARTER ENDING FEBRUARY 2009</v>
      </c>
      <c r="C116" s="98"/>
      <c r="D116" s="98"/>
      <c r="E116" s="98"/>
      <c r="F116" s="98"/>
      <c r="G116" s="98"/>
      <c r="H116" s="98"/>
      <c r="I116" s="98"/>
      <c r="J116" s="98"/>
      <c r="K116" s="98"/>
      <c r="L116" s="98"/>
      <c r="M116" s="98"/>
      <c r="N116" s="101"/>
      <c r="O116" s="100"/>
      <c r="P116" s="5"/>
    </row>
    <row r="117" spans="1:17" ht="15.6" x14ac:dyDescent="0.3">
      <c r="A117" s="2"/>
      <c r="B117" s="58" t="s">
        <v>38</v>
      </c>
      <c r="C117" s="4"/>
      <c r="D117" s="4"/>
      <c r="E117" s="4"/>
      <c r="F117" s="4"/>
      <c r="G117" s="4"/>
      <c r="H117" s="4"/>
      <c r="I117" s="4"/>
      <c r="J117" s="4"/>
      <c r="K117" s="4"/>
      <c r="L117" s="4"/>
      <c r="M117" s="4"/>
      <c r="N117" s="49"/>
      <c r="O117" s="4"/>
      <c r="P117" s="5"/>
    </row>
    <row r="118" spans="1:17" ht="15.6" x14ac:dyDescent="0.3">
      <c r="A118" s="6"/>
      <c r="B118" s="21"/>
      <c r="C118" s="8"/>
      <c r="D118" s="8"/>
      <c r="E118" s="8"/>
      <c r="F118" s="8"/>
      <c r="G118" s="8"/>
      <c r="H118" s="8"/>
      <c r="I118" s="8"/>
      <c r="J118" s="8"/>
      <c r="K118" s="8"/>
      <c r="L118" s="8"/>
      <c r="M118" s="8"/>
      <c r="N118" s="51"/>
      <c r="O118" s="8"/>
      <c r="P118" s="5"/>
    </row>
    <row r="119" spans="1:17" ht="15.6" x14ac:dyDescent="0.3">
      <c r="A119" s="6"/>
      <c r="B119" s="114" t="s">
        <v>39</v>
      </c>
      <c r="C119" s="8"/>
      <c r="D119" s="8"/>
      <c r="E119" s="8"/>
      <c r="F119" s="8"/>
      <c r="G119" s="8"/>
      <c r="H119" s="8"/>
      <c r="I119" s="8"/>
      <c r="J119" s="8"/>
      <c r="K119" s="8"/>
      <c r="L119" s="8"/>
      <c r="M119" s="8"/>
      <c r="N119" s="51"/>
      <c r="O119" s="8"/>
      <c r="P119" s="5"/>
    </row>
    <row r="120" spans="1:17" ht="15.6" x14ac:dyDescent="0.3">
      <c r="A120" s="24"/>
      <c r="B120" s="25" t="s">
        <v>40</v>
      </c>
      <c r="C120" s="25"/>
      <c r="D120" s="25"/>
      <c r="E120" s="25"/>
      <c r="F120" s="25"/>
      <c r="G120" s="25"/>
      <c r="H120" s="25"/>
      <c r="I120" s="25"/>
      <c r="J120" s="25"/>
      <c r="K120" s="25"/>
      <c r="L120" s="25"/>
      <c r="M120" s="25"/>
      <c r="N120" s="52">
        <f>N28*0.003</f>
        <v>805.80000000000007</v>
      </c>
      <c r="O120" s="25"/>
      <c r="P120" s="5"/>
    </row>
    <row r="121" spans="1:17" ht="15.6" x14ac:dyDescent="0.3">
      <c r="A121" s="24"/>
      <c r="B121" s="25" t="s">
        <v>41</v>
      </c>
      <c r="C121" s="25"/>
      <c r="D121" s="25"/>
      <c r="E121" s="25"/>
      <c r="F121" s="25"/>
      <c r="G121" s="25"/>
      <c r="H121" s="25"/>
      <c r="I121" s="25"/>
      <c r="J121" s="25"/>
      <c r="K121" s="25"/>
      <c r="L121" s="25"/>
      <c r="M121" s="25"/>
      <c r="N121" s="52">
        <v>806</v>
      </c>
      <c r="O121" s="25"/>
      <c r="P121" s="5"/>
    </row>
    <row r="122" spans="1:17" ht="15.6" x14ac:dyDescent="0.3">
      <c r="A122" s="24"/>
      <c r="B122" s="25" t="s">
        <v>132</v>
      </c>
      <c r="C122" s="25"/>
      <c r="D122" s="25"/>
      <c r="E122" s="25"/>
      <c r="F122" s="25"/>
      <c r="G122" s="25"/>
      <c r="H122" s="25"/>
      <c r="I122" s="25"/>
      <c r="J122" s="25"/>
      <c r="K122" s="25"/>
      <c r="L122" s="25"/>
      <c r="M122" s="25"/>
      <c r="N122" s="52">
        <v>0</v>
      </c>
      <c r="O122" s="25"/>
      <c r="P122" s="5"/>
    </row>
    <row r="123" spans="1:17" ht="15.6" x14ac:dyDescent="0.3">
      <c r="A123" s="24"/>
      <c r="B123" s="25" t="s">
        <v>221</v>
      </c>
      <c r="C123" s="25"/>
      <c r="D123" s="25"/>
      <c r="E123" s="25"/>
      <c r="F123" s="25"/>
      <c r="G123" s="25"/>
      <c r="H123" s="25"/>
      <c r="I123" s="25"/>
      <c r="J123" s="25"/>
      <c r="K123" s="25"/>
      <c r="L123" s="25"/>
      <c r="M123" s="25"/>
      <c r="N123" s="52">
        <v>0</v>
      </c>
      <c r="O123" s="25"/>
      <c r="P123" s="5"/>
    </row>
    <row r="124" spans="1:17" ht="15.6" x14ac:dyDescent="0.3">
      <c r="A124" s="24"/>
      <c r="B124" s="25" t="s">
        <v>222</v>
      </c>
      <c r="C124" s="25"/>
      <c r="D124" s="25"/>
      <c r="E124" s="25"/>
      <c r="F124" s="25"/>
      <c r="G124" s="25"/>
      <c r="H124" s="25"/>
      <c r="I124" s="25"/>
      <c r="J124" s="25"/>
      <c r="K124" s="25"/>
      <c r="L124" s="25"/>
      <c r="M124" s="25"/>
      <c r="N124" s="52">
        <v>0</v>
      </c>
      <c r="O124" s="25"/>
      <c r="P124" s="5"/>
    </row>
    <row r="125" spans="1:17" ht="15.6" x14ac:dyDescent="0.3">
      <c r="A125" s="24"/>
      <c r="B125" s="25" t="s">
        <v>223</v>
      </c>
      <c r="C125" s="25"/>
      <c r="D125" s="25"/>
      <c r="E125" s="25"/>
      <c r="F125" s="25"/>
      <c r="G125" s="25"/>
      <c r="H125" s="25"/>
      <c r="I125" s="25"/>
      <c r="J125" s="25"/>
      <c r="K125" s="25"/>
      <c r="L125" s="25"/>
      <c r="M125" s="25"/>
      <c r="N125" s="52">
        <v>0</v>
      </c>
      <c r="O125" s="25"/>
      <c r="P125" s="5"/>
    </row>
    <row r="126" spans="1:17" ht="15.6" x14ac:dyDescent="0.3">
      <c r="A126" s="24"/>
      <c r="B126" s="25" t="s">
        <v>42</v>
      </c>
      <c r="C126" s="25"/>
      <c r="D126" s="25"/>
      <c r="E126" s="25"/>
      <c r="F126" s="25"/>
      <c r="G126" s="25"/>
      <c r="H126" s="25"/>
      <c r="I126" s="25"/>
      <c r="J126" s="25"/>
      <c r="K126" s="25"/>
      <c r="L126" s="25"/>
      <c r="M126" s="25"/>
      <c r="N126" s="52">
        <v>0</v>
      </c>
      <c r="O126" s="25"/>
      <c r="P126" s="5"/>
    </row>
    <row r="127" spans="1:17" ht="15.6" x14ac:dyDescent="0.3">
      <c r="A127" s="24"/>
      <c r="B127" s="25" t="s">
        <v>125</v>
      </c>
      <c r="C127" s="25"/>
      <c r="D127" s="25"/>
      <c r="E127" s="25"/>
      <c r="F127" s="25"/>
      <c r="G127" s="25"/>
      <c r="H127" s="25"/>
      <c r="I127" s="25"/>
      <c r="J127" s="25"/>
      <c r="K127" s="25"/>
      <c r="L127" s="25"/>
      <c r="M127" s="25"/>
      <c r="N127" s="52">
        <v>0</v>
      </c>
      <c r="O127" s="25"/>
      <c r="P127" s="5"/>
    </row>
    <row r="128" spans="1:17" ht="15.6" x14ac:dyDescent="0.3">
      <c r="A128" s="24"/>
      <c r="B128" s="25" t="s">
        <v>225</v>
      </c>
      <c r="C128" s="25"/>
      <c r="D128" s="25"/>
      <c r="E128" s="25"/>
      <c r="F128" s="25"/>
      <c r="G128" s="25"/>
      <c r="H128" s="25"/>
      <c r="I128" s="25"/>
      <c r="J128" s="25"/>
      <c r="K128" s="25"/>
      <c r="L128" s="25"/>
      <c r="M128" s="25"/>
      <c r="N128" s="52">
        <v>0</v>
      </c>
      <c r="O128" s="25"/>
      <c r="P128" s="5"/>
      <c r="Q128" s="104"/>
    </row>
    <row r="129" spans="1:16" ht="15.6" x14ac:dyDescent="0.3">
      <c r="A129" s="24"/>
      <c r="B129" s="25" t="s">
        <v>43</v>
      </c>
      <c r="C129" s="25"/>
      <c r="D129" s="25"/>
      <c r="E129" s="25"/>
      <c r="F129" s="25"/>
      <c r="G129" s="25"/>
      <c r="H129" s="25"/>
      <c r="I129" s="25"/>
      <c r="J129" s="25"/>
      <c r="K129" s="25"/>
      <c r="L129" s="25"/>
      <c r="M129" s="25"/>
      <c r="N129" s="52">
        <f>SUM(N121:N128)</f>
        <v>806</v>
      </c>
      <c r="O129" s="25"/>
      <c r="P129" s="5"/>
    </row>
    <row r="130" spans="1:16" ht="15.6" x14ac:dyDescent="0.3">
      <c r="A130" s="24"/>
      <c r="B130" s="25"/>
      <c r="C130" s="25"/>
      <c r="D130" s="25"/>
      <c r="E130" s="25"/>
      <c r="F130" s="25"/>
      <c r="G130" s="25"/>
      <c r="H130" s="25"/>
      <c r="I130" s="25"/>
      <c r="J130" s="25"/>
      <c r="K130" s="25"/>
      <c r="L130" s="25"/>
      <c r="M130" s="25"/>
      <c r="N130" s="52"/>
      <c r="O130" s="25"/>
      <c r="P130" s="5"/>
    </row>
    <row r="131" spans="1:16" ht="15.6" x14ac:dyDescent="0.3">
      <c r="A131" s="24"/>
      <c r="B131" s="130" t="s">
        <v>179</v>
      </c>
      <c r="C131" s="25"/>
      <c r="D131" s="25"/>
      <c r="E131" s="25"/>
      <c r="F131" s="25"/>
      <c r="G131" s="25"/>
      <c r="H131" s="25"/>
      <c r="I131" s="25"/>
      <c r="J131" s="25"/>
      <c r="K131" s="25"/>
      <c r="L131" s="25"/>
      <c r="M131" s="25"/>
      <c r="N131" s="52"/>
      <c r="O131" s="25"/>
      <c r="P131" s="5"/>
    </row>
    <row r="132" spans="1:16" ht="15.6" x14ac:dyDescent="0.3">
      <c r="A132" s="24"/>
      <c r="B132" s="25" t="s">
        <v>144</v>
      </c>
      <c r="C132" s="25"/>
      <c r="D132" s="25"/>
      <c r="E132" s="25"/>
      <c r="F132" s="25"/>
      <c r="G132" s="25"/>
      <c r="H132" s="25"/>
      <c r="I132" s="25"/>
      <c r="J132" s="25"/>
      <c r="K132" s="25"/>
      <c r="L132" s="25"/>
      <c r="M132" s="25"/>
      <c r="N132" s="52">
        <v>7098</v>
      </c>
      <c r="O132" s="25"/>
      <c r="P132" s="5"/>
    </row>
    <row r="133" spans="1:16" ht="15.6" x14ac:dyDescent="0.3">
      <c r="A133" s="24"/>
      <c r="B133" s="25" t="s">
        <v>159</v>
      </c>
      <c r="C133" s="25"/>
      <c r="D133" s="25"/>
      <c r="E133" s="25"/>
      <c r="F133" s="25"/>
      <c r="G133" s="25"/>
      <c r="H133" s="25"/>
      <c r="I133" s="25"/>
      <c r="J133" s="25"/>
      <c r="K133" s="25"/>
      <c r="L133" s="25"/>
      <c r="M133" s="25"/>
      <c r="N133" s="52">
        <v>0</v>
      </c>
      <c r="O133" s="25"/>
      <c r="P133" s="5"/>
    </row>
    <row r="134" spans="1:16" ht="15.6" x14ac:dyDescent="0.3">
      <c r="A134" s="24"/>
      <c r="B134" s="25" t="s">
        <v>183</v>
      </c>
      <c r="C134" s="25"/>
      <c r="D134" s="25"/>
      <c r="E134" s="25"/>
      <c r="F134" s="25"/>
      <c r="G134" s="25"/>
      <c r="H134" s="25"/>
      <c r="I134" s="25"/>
      <c r="J134" s="25"/>
      <c r="K134" s="25"/>
      <c r="L134" s="25"/>
      <c r="M134" s="25"/>
      <c r="N134" s="52">
        <v>3979</v>
      </c>
      <c r="O134" s="25"/>
      <c r="P134" s="5"/>
    </row>
    <row r="135" spans="1:16" ht="15.6" x14ac:dyDescent="0.3">
      <c r="A135" s="24"/>
      <c r="B135" s="25"/>
      <c r="C135" s="25"/>
      <c r="D135" s="25"/>
      <c r="E135" s="25"/>
      <c r="F135" s="25"/>
      <c r="G135" s="25"/>
      <c r="H135" s="25"/>
      <c r="I135" s="25"/>
      <c r="J135" s="25"/>
      <c r="K135" s="25"/>
      <c r="L135" s="25"/>
      <c r="M135" s="25"/>
      <c r="N135" s="52"/>
      <c r="O135" s="25"/>
      <c r="P135" s="5"/>
    </row>
    <row r="136" spans="1:16" ht="15.6" x14ac:dyDescent="0.3">
      <c r="A136" s="24"/>
      <c r="B136" s="25"/>
      <c r="C136" s="25"/>
      <c r="D136" s="25"/>
      <c r="E136" s="25"/>
      <c r="F136" s="25"/>
      <c r="G136" s="25"/>
      <c r="H136" s="25"/>
      <c r="I136" s="25"/>
      <c r="J136" s="25"/>
      <c r="K136" s="25"/>
      <c r="L136" s="25"/>
      <c r="M136" s="25"/>
      <c r="N136" s="59"/>
      <c r="O136" s="25"/>
      <c r="P136" s="5"/>
    </row>
    <row r="137" spans="1:16" ht="15.6" x14ac:dyDescent="0.3">
      <c r="A137" s="6"/>
      <c r="B137" s="114" t="s">
        <v>22</v>
      </c>
      <c r="C137" s="8"/>
      <c r="D137" s="8"/>
      <c r="E137" s="8"/>
      <c r="F137" s="8"/>
      <c r="G137" s="8"/>
      <c r="H137" s="8"/>
      <c r="I137" s="8"/>
      <c r="J137" s="8"/>
      <c r="K137" s="8"/>
      <c r="L137" s="8"/>
      <c r="M137" s="8"/>
      <c r="N137" s="51"/>
      <c r="O137" s="8"/>
      <c r="P137" s="5"/>
    </row>
    <row r="138" spans="1:16" ht="15.6" x14ac:dyDescent="0.3">
      <c r="A138" s="24"/>
      <c r="B138" s="25" t="s">
        <v>44</v>
      </c>
      <c r="C138" s="25"/>
      <c r="D138" s="25"/>
      <c r="E138" s="25"/>
      <c r="F138" s="25"/>
      <c r="G138" s="25"/>
      <c r="H138" s="25"/>
      <c r="I138" s="25"/>
      <c r="J138" s="25"/>
      <c r="K138" s="25"/>
      <c r="L138" s="25"/>
      <c r="M138" s="25"/>
      <c r="N138" s="57" t="s">
        <v>117</v>
      </c>
      <c r="O138" s="25"/>
      <c r="P138" s="5"/>
    </row>
    <row r="139" spans="1:16" ht="15.6" x14ac:dyDescent="0.3">
      <c r="A139" s="24"/>
      <c r="B139" s="25" t="s">
        <v>45</v>
      </c>
      <c r="C139" s="175"/>
      <c r="D139" s="175"/>
      <c r="E139" s="175"/>
      <c r="F139" s="175"/>
      <c r="G139" s="175"/>
      <c r="H139" s="175"/>
      <c r="I139" s="175"/>
      <c r="J139" s="175"/>
      <c r="K139" s="175"/>
      <c r="L139" s="175"/>
      <c r="M139" s="175"/>
      <c r="N139" s="57" t="s">
        <v>117</v>
      </c>
      <c r="O139" s="25"/>
      <c r="P139" s="5"/>
    </row>
    <row r="140" spans="1:16" ht="15.6" x14ac:dyDescent="0.3">
      <c r="A140" s="24"/>
      <c r="B140" s="25" t="s">
        <v>46</v>
      </c>
      <c r="C140" s="25"/>
      <c r="D140" s="25"/>
      <c r="E140" s="25"/>
      <c r="F140" s="25"/>
      <c r="G140" s="25"/>
      <c r="H140" s="25"/>
      <c r="I140" s="25"/>
      <c r="J140" s="25"/>
      <c r="K140" s="25"/>
      <c r="L140" s="25"/>
      <c r="M140" s="25"/>
      <c r="N140" s="57" t="s">
        <v>117</v>
      </c>
      <c r="O140" s="25"/>
      <c r="P140" s="5"/>
    </row>
    <row r="141" spans="1:16" ht="15.6" x14ac:dyDescent="0.3">
      <c r="A141" s="24"/>
      <c r="B141" s="25" t="s">
        <v>47</v>
      </c>
      <c r="C141" s="25"/>
      <c r="D141" s="25"/>
      <c r="E141" s="25"/>
      <c r="F141" s="25"/>
      <c r="G141" s="25"/>
      <c r="H141" s="25"/>
      <c r="I141" s="25"/>
      <c r="J141" s="25"/>
      <c r="K141" s="25"/>
      <c r="L141" s="25"/>
      <c r="M141" s="25"/>
      <c r="N141" s="57" t="s">
        <v>117</v>
      </c>
      <c r="O141" s="25"/>
      <c r="P141" s="5"/>
    </row>
    <row r="142" spans="1:16" ht="15.6" x14ac:dyDescent="0.3">
      <c r="A142" s="24"/>
      <c r="B142" s="25"/>
      <c r="C142" s="25"/>
      <c r="D142" s="25"/>
      <c r="E142" s="25"/>
      <c r="F142" s="25"/>
      <c r="G142" s="25"/>
      <c r="H142" s="25"/>
      <c r="I142" s="25"/>
      <c r="J142" s="25"/>
      <c r="K142" s="25"/>
      <c r="L142" s="25"/>
      <c r="M142" s="25"/>
      <c r="N142" s="59"/>
      <c r="O142" s="25"/>
      <c r="P142" s="5"/>
    </row>
    <row r="143" spans="1:16" ht="15.6" x14ac:dyDescent="0.3">
      <c r="A143" s="6"/>
      <c r="B143" s="114" t="s">
        <v>48</v>
      </c>
      <c r="C143" s="8"/>
      <c r="D143" s="8"/>
      <c r="E143" s="8"/>
      <c r="F143" s="8"/>
      <c r="G143" s="8"/>
      <c r="H143" s="8"/>
      <c r="I143" s="8"/>
      <c r="J143" s="8"/>
      <c r="K143" s="8"/>
      <c r="L143" s="8"/>
      <c r="M143" s="8"/>
      <c r="N143" s="61"/>
      <c r="O143" s="8"/>
      <c r="P143" s="5"/>
    </row>
    <row r="144" spans="1:16" ht="15.6" x14ac:dyDescent="0.3">
      <c r="A144" s="24"/>
      <c r="B144" s="25" t="s">
        <v>49</v>
      </c>
      <c r="C144" s="25"/>
      <c r="D144" s="25"/>
      <c r="E144" s="25"/>
      <c r="F144" s="25"/>
      <c r="G144" s="25"/>
      <c r="H144" s="25"/>
      <c r="I144" s="25"/>
      <c r="J144" s="25"/>
      <c r="K144" s="25"/>
      <c r="L144" s="25"/>
      <c r="M144" s="25"/>
      <c r="N144" s="52">
        <v>0</v>
      </c>
      <c r="O144" s="25"/>
      <c r="P144" s="5"/>
    </row>
    <row r="145" spans="1:256" ht="15.6" x14ac:dyDescent="0.3">
      <c r="A145" s="24"/>
      <c r="B145" s="25" t="s">
        <v>50</v>
      </c>
      <c r="C145" s="25"/>
      <c r="D145" s="25"/>
      <c r="E145" s="25"/>
      <c r="F145" s="25"/>
      <c r="G145" s="25"/>
      <c r="H145" s="25"/>
      <c r="I145" s="25"/>
      <c r="J145" s="25"/>
      <c r="K145" s="25"/>
      <c r="L145" s="25"/>
      <c r="M145" s="25"/>
      <c r="N145" s="52">
        <f>L99</f>
        <v>-4</v>
      </c>
      <c r="O145" s="25"/>
      <c r="P145" s="5"/>
    </row>
    <row r="146" spans="1:256" ht="15.6" x14ac:dyDescent="0.3">
      <c r="A146" s="24"/>
      <c r="B146" s="25" t="s">
        <v>51</v>
      </c>
      <c r="C146" s="25"/>
      <c r="D146" s="25"/>
      <c r="E146" s="25"/>
      <c r="F146" s="25"/>
      <c r="G146" s="25"/>
      <c r="H146" s="25"/>
      <c r="I146" s="25"/>
      <c r="J146" s="25"/>
      <c r="K146" s="25"/>
      <c r="L146" s="25"/>
      <c r="M146" s="25"/>
      <c r="N146" s="52">
        <f>N145+N144</f>
        <v>-4</v>
      </c>
      <c r="O146" s="25"/>
      <c r="P146" s="5"/>
    </row>
    <row r="147" spans="1:256" ht="15.6" x14ac:dyDescent="0.3">
      <c r="A147" s="24"/>
      <c r="B147" s="25" t="s">
        <v>264</v>
      </c>
      <c r="C147" s="25"/>
      <c r="D147" s="25"/>
      <c r="E147" s="25"/>
      <c r="F147" s="25"/>
      <c r="G147" s="25"/>
      <c r="H147" s="25"/>
      <c r="I147" s="25"/>
      <c r="J147" s="25"/>
      <c r="K147" s="25"/>
      <c r="L147" s="25"/>
      <c r="M147" s="25"/>
      <c r="N147" s="52">
        <f>N99</f>
        <v>4</v>
      </c>
      <c r="O147" s="25"/>
      <c r="P147" s="5"/>
    </row>
    <row r="148" spans="1:256" ht="15.6" x14ac:dyDescent="0.3">
      <c r="A148" s="24"/>
      <c r="B148" s="25" t="s">
        <v>52</v>
      </c>
      <c r="C148" s="25"/>
      <c r="D148" s="25"/>
      <c r="E148" s="25"/>
      <c r="F148" s="25"/>
      <c r="G148" s="25"/>
      <c r="H148" s="25"/>
      <c r="I148" s="25"/>
      <c r="J148" s="25"/>
      <c r="K148" s="25"/>
      <c r="L148" s="25"/>
      <c r="M148" s="25"/>
      <c r="N148" s="52">
        <f>N146+N147</f>
        <v>0</v>
      </c>
      <c r="O148" s="25"/>
      <c r="P148" s="5"/>
    </row>
    <row r="149" spans="1:256" ht="16.2" thickBot="1" x14ac:dyDescent="0.35">
      <c r="A149" s="24"/>
      <c r="B149" s="25"/>
      <c r="C149" s="25"/>
      <c r="D149" s="25"/>
      <c r="E149" s="25"/>
      <c r="F149" s="25"/>
      <c r="G149" s="25"/>
      <c r="H149" s="25"/>
      <c r="I149" s="25"/>
      <c r="J149" s="25"/>
      <c r="K149" s="25"/>
      <c r="L149" s="25"/>
      <c r="M149" s="25"/>
      <c r="N149" s="59"/>
      <c r="O149" s="25"/>
      <c r="P149" s="5"/>
    </row>
    <row r="150" spans="1:256" ht="15.6" x14ac:dyDescent="0.3">
      <c r="A150" s="2"/>
      <c r="B150" s="4"/>
      <c r="C150" s="4"/>
      <c r="D150" s="4"/>
      <c r="E150" s="4"/>
      <c r="F150" s="4"/>
      <c r="G150" s="4"/>
      <c r="H150" s="4"/>
      <c r="I150" s="4"/>
      <c r="J150" s="4"/>
      <c r="K150" s="4"/>
      <c r="L150" s="4"/>
      <c r="M150" s="4"/>
      <c r="N150" s="49"/>
      <c r="O150" s="4"/>
      <c r="P150" s="5"/>
    </row>
    <row r="151" spans="1:256" ht="15.6" x14ac:dyDescent="0.3">
      <c r="A151" s="6"/>
      <c r="B151" s="114" t="s">
        <v>53</v>
      </c>
      <c r="C151" s="8"/>
      <c r="D151" s="8"/>
      <c r="E151" s="8"/>
      <c r="F151" s="8"/>
      <c r="G151" s="8"/>
      <c r="H151" s="8"/>
      <c r="I151" s="8"/>
      <c r="J151" s="8"/>
      <c r="K151" s="8"/>
      <c r="L151" s="8"/>
      <c r="M151" s="8"/>
      <c r="N151" s="51"/>
      <c r="O151" s="8"/>
      <c r="P151" s="5"/>
    </row>
    <row r="152" spans="1:256" ht="15.6" x14ac:dyDescent="0.3">
      <c r="A152" s="6"/>
      <c r="B152" s="21"/>
      <c r="C152" s="8"/>
      <c r="D152" s="8"/>
      <c r="E152" s="8"/>
      <c r="F152" s="8"/>
      <c r="G152" s="8"/>
      <c r="H152" s="8"/>
      <c r="I152" s="8"/>
      <c r="J152" s="8"/>
      <c r="K152" s="8"/>
      <c r="L152" s="8"/>
      <c r="M152" s="8"/>
      <c r="N152" s="51"/>
      <c r="O152" s="8"/>
      <c r="P152" s="5"/>
    </row>
    <row r="153" spans="1:256" ht="15.6" x14ac:dyDescent="0.3">
      <c r="A153" s="24"/>
      <c r="B153" s="25" t="s">
        <v>234</v>
      </c>
      <c r="C153" s="25"/>
      <c r="D153" s="25"/>
      <c r="E153" s="25"/>
      <c r="F153" s="25"/>
      <c r="G153" s="25"/>
      <c r="H153" s="25"/>
      <c r="I153" s="25"/>
      <c r="J153" s="25"/>
      <c r="K153" s="25"/>
      <c r="L153" s="25"/>
      <c r="M153" s="25"/>
      <c r="N153" s="52">
        <f>N57</f>
        <v>146109</v>
      </c>
      <c r="O153" s="25"/>
      <c r="P153" s="5"/>
      <c r="Q153" s="104"/>
    </row>
    <row r="154" spans="1:256" ht="15.6" x14ac:dyDescent="0.3">
      <c r="A154" s="24"/>
      <c r="B154" s="25" t="s">
        <v>54</v>
      </c>
      <c r="C154" s="25"/>
      <c r="D154" s="25"/>
      <c r="E154" s="25"/>
      <c r="F154" s="25"/>
      <c r="G154" s="25"/>
      <c r="H154" s="25"/>
      <c r="I154" s="25"/>
      <c r="J154" s="25"/>
      <c r="K154" s="25"/>
      <c r="L154" s="25"/>
      <c r="M154" s="25"/>
      <c r="N154" s="52">
        <f>N73</f>
        <v>146109</v>
      </c>
      <c r="O154" s="25"/>
      <c r="P154" s="5"/>
    </row>
    <row r="155" spans="1:256" ht="16.2" thickBot="1" x14ac:dyDescent="0.35">
      <c r="A155" s="24"/>
      <c r="B155" s="25"/>
      <c r="C155" s="25"/>
      <c r="D155" s="25"/>
      <c r="E155" s="25"/>
      <c r="F155" s="25"/>
      <c r="G155" s="25"/>
      <c r="H155" s="25"/>
      <c r="I155" s="25"/>
      <c r="J155" s="25"/>
      <c r="K155" s="25"/>
      <c r="L155" s="25"/>
      <c r="M155" s="25"/>
      <c r="N155" s="59"/>
      <c r="O155" s="25"/>
      <c r="P155" s="5"/>
    </row>
    <row r="156" spans="1:256" s="150" customFormat="1" ht="15.6" x14ac:dyDescent="0.3">
      <c r="A156" s="2"/>
      <c r="B156" s="4"/>
      <c r="C156" s="4"/>
      <c r="D156" s="4"/>
      <c r="E156" s="4"/>
      <c r="F156" s="4"/>
      <c r="G156" s="4"/>
      <c r="H156" s="4"/>
      <c r="I156" s="4"/>
      <c r="J156" s="4"/>
      <c r="K156" s="4"/>
      <c r="L156" s="4"/>
      <c r="M156" s="4"/>
      <c r="N156" s="49"/>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s="153" customFormat="1" ht="15.6" x14ac:dyDescent="0.3">
      <c r="A157" s="6"/>
      <c r="B157" s="160" t="s">
        <v>205</v>
      </c>
      <c r="C157" s="151"/>
      <c r="D157" s="151"/>
      <c r="E157" s="151"/>
      <c r="F157" s="151"/>
      <c r="G157" s="151"/>
      <c r="H157" s="151"/>
      <c r="I157" s="151"/>
      <c r="J157" s="151"/>
      <c r="K157" s="151"/>
      <c r="L157" s="151"/>
      <c r="M157" s="151"/>
      <c r="N157" s="152"/>
      <c r="O157" s="151"/>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ht="16.2" thickBot="1" x14ac:dyDescent="0.35">
      <c r="A158" s="6"/>
      <c r="B158" s="151"/>
      <c r="C158" s="151"/>
      <c r="D158" s="151"/>
      <c r="E158" s="151"/>
      <c r="F158" s="151"/>
      <c r="G158" s="151"/>
      <c r="H158" s="151"/>
      <c r="I158" s="151"/>
      <c r="J158" s="151"/>
      <c r="K158" s="151"/>
      <c r="L158" s="151"/>
      <c r="M158" s="151"/>
      <c r="N158" s="152"/>
      <c r="O158" s="151"/>
      <c r="P158" s="5"/>
    </row>
    <row r="159" spans="1:256" s="156" customFormat="1" ht="15.6" x14ac:dyDescent="0.3">
      <c r="A159" s="2"/>
      <c r="B159" s="4" t="s">
        <v>206</v>
      </c>
      <c r="C159" s="4"/>
      <c r="D159" s="4"/>
      <c r="E159" s="4"/>
      <c r="F159" s="4"/>
      <c r="G159" s="4"/>
      <c r="H159" s="4"/>
      <c r="I159" s="4"/>
      <c r="J159" s="4"/>
      <c r="K159" s="4"/>
      <c r="L159" s="4"/>
      <c r="M159" s="4"/>
      <c r="N159" s="185">
        <f>+'Nov 08'!N162</f>
        <v>530</v>
      </c>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53" customFormat="1" ht="15.6" x14ac:dyDescent="0.3">
      <c r="A160" s="181"/>
      <c r="B160" s="182" t="s">
        <v>207</v>
      </c>
      <c r="C160" s="182"/>
      <c r="D160" s="182"/>
      <c r="E160" s="182"/>
      <c r="F160" s="182"/>
      <c r="G160" s="182"/>
      <c r="H160" s="182"/>
      <c r="I160" s="182"/>
      <c r="J160" s="182"/>
      <c r="K160" s="182"/>
      <c r="L160" s="182"/>
      <c r="M160" s="182"/>
      <c r="N160" s="183">
        <f>+H58</f>
        <v>6</v>
      </c>
      <c r="O160" s="18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63" customFormat="1" ht="15.6" x14ac:dyDescent="0.3">
      <c r="A161" s="181"/>
      <c r="B161" s="182" t="s">
        <v>208</v>
      </c>
      <c r="C161" s="182"/>
      <c r="D161" s="182"/>
      <c r="E161" s="182"/>
      <c r="F161" s="182"/>
      <c r="G161" s="182"/>
      <c r="H161" s="182"/>
      <c r="I161" s="182"/>
      <c r="J161" s="182"/>
      <c r="K161" s="182"/>
      <c r="L161" s="182"/>
      <c r="M161" s="182"/>
      <c r="N161" s="183">
        <v>0</v>
      </c>
      <c r="O161" s="18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5.6" x14ac:dyDescent="0.3">
      <c r="A162" s="181"/>
      <c r="B162" s="182" t="s">
        <v>217</v>
      </c>
      <c r="C162" s="182"/>
      <c r="D162" s="182"/>
      <c r="E162" s="182"/>
      <c r="F162" s="182"/>
      <c r="G162" s="182"/>
      <c r="H162" s="182"/>
      <c r="I162" s="182"/>
      <c r="J162" s="182"/>
      <c r="K162" s="182"/>
      <c r="L162" s="182"/>
      <c r="M162" s="182"/>
      <c r="N162" s="183">
        <f>N159-N160-N161</f>
        <v>524</v>
      </c>
      <c r="O162" s="18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59" customFormat="1" ht="16.2" thickBot="1" x14ac:dyDescent="0.35">
      <c r="A163" s="6"/>
      <c r="B163" s="151"/>
      <c r="C163" s="151"/>
      <c r="D163" s="151"/>
      <c r="E163" s="151"/>
      <c r="F163" s="151"/>
      <c r="G163" s="151"/>
      <c r="H163" s="151"/>
      <c r="I163" s="151"/>
      <c r="J163" s="151"/>
      <c r="K163" s="151"/>
      <c r="L163" s="151"/>
      <c r="M163" s="151"/>
      <c r="N163" s="165"/>
      <c r="O163" s="151"/>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s="173" customFormat="1" ht="15.6" x14ac:dyDescent="0.3">
      <c r="A164" s="168"/>
      <c r="B164" s="169"/>
      <c r="C164" s="169"/>
      <c r="D164" s="169"/>
      <c r="E164" s="169"/>
      <c r="F164" s="169"/>
      <c r="G164" s="169"/>
      <c r="H164" s="169"/>
      <c r="I164" s="169"/>
      <c r="J164" s="169"/>
      <c r="K164" s="169"/>
      <c r="L164" s="169"/>
      <c r="M164" s="169"/>
      <c r="N164" s="170"/>
      <c r="O164" s="169"/>
      <c r="P164" s="172"/>
    </row>
    <row r="165" spans="1:256" ht="15.6" x14ac:dyDescent="0.3">
      <c r="A165" s="6"/>
      <c r="B165" s="114" t="s">
        <v>55</v>
      </c>
      <c r="C165" s="112"/>
      <c r="D165" s="115"/>
      <c r="E165" s="115"/>
      <c r="F165" s="115"/>
      <c r="G165" s="115"/>
      <c r="H165" s="115"/>
      <c r="I165" s="115"/>
      <c r="J165" s="115"/>
      <c r="K165" s="115" t="s">
        <v>98</v>
      </c>
      <c r="L165" s="115" t="s">
        <v>226</v>
      </c>
      <c r="M165" s="106"/>
      <c r="N165" s="116" t="s">
        <v>114</v>
      </c>
      <c r="O165" s="10"/>
      <c r="P165" s="5"/>
    </row>
    <row r="166" spans="1:256" ht="15.6" x14ac:dyDescent="0.3">
      <c r="A166" s="24"/>
      <c r="B166" s="25" t="s">
        <v>56</v>
      </c>
      <c r="C166" s="25"/>
      <c r="D166" s="25"/>
      <c r="E166" s="25"/>
      <c r="F166" s="25"/>
      <c r="G166" s="25"/>
      <c r="H166" s="25"/>
      <c r="I166" s="25"/>
      <c r="J166" s="25"/>
      <c r="K166" s="52" t="s">
        <v>117</v>
      </c>
      <c r="L166" s="40" t="s">
        <v>117</v>
      </c>
      <c r="M166" s="25"/>
      <c r="N166" s="52"/>
      <c r="O166" s="25"/>
      <c r="P166" s="5"/>
    </row>
    <row r="167" spans="1:256" ht="15.6" x14ac:dyDescent="0.3">
      <c r="A167" s="24"/>
      <c r="B167" s="25" t="s">
        <v>57</v>
      </c>
      <c r="C167" s="25"/>
      <c r="D167" s="25"/>
      <c r="E167" s="25"/>
      <c r="F167" s="25"/>
      <c r="G167" s="25"/>
      <c r="H167" s="25"/>
      <c r="I167" s="25"/>
      <c r="J167" s="25"/>
      <c r="K167" s="52">
        <v>0</v>
      </c>
      <c r="L167" s="52">
        <f>+'Nov 08'!L169</f>
        <v>7834</v>
      </c>
      <c r="M167" s="25"/>
      <c r="N167" s="52">
        <f>K167+L167</f>
        <v>7834</v>
      </c>
      <c r="O167" s="25"/>
      <c r="P167" s="5"/>
    </row>
    <row r="168" spans="1:256" ht="15.6" x14ac:dyDescent="0.3">
      <c r="A168" s="24"/>
      <c r="B168" s="25" t="s">
        <v>58</v>
      </c>
      <c r="C168" s="25"/>
      <c r="D168" s="25"/>
      <c r="E168" s="25"/>
      <c r="F168" s="25"/>
      <c r="G168" s="25"/>
      <c r="H168" s="25"/>
      <c r="I168" s="25"/>
      <c r="J168" s="25"/>
      <c r="K168" s="34">
        <v>0</v>
      </c>
      <c r="L168" s="34">
        <f>-L108</f>
        <v>998</v>
      </c>
      <c r="M168" s="25"/>
      <c r="N168" s="52">
        <f>K168+L168</f>
        <v>998</v>
      </c>
      <c r="O168" s="25"/>
      <c r="P168" s="5"/>
    </row>
    <row r="169" spans="1:256" ht="15.6" x14ac:dyDescent="0.3">
      <c r="A169" s="24"/>
      <c r="B169" s="25" t="s">
        <v>59</v>
      </c>
      <c r="C169" s="25"/>
      <c r="D169" s="25"/>
      <c r="E169" s="25"/>
      <c r="F169" s="25"/>
      <c r="G169" s="25"/>
      <c r="H169" s="25"/>
      <c r="I169" s="25"/>
      <c r="J169" s="25"/>
      <c r="K169" s="52">
        <f>K167+K168</f>
        <v>0</v>
      </c>
      <c r="L169" s="52">
        <f>L168+L167</f>
        <v>8832</v>
      </c>
      <c r="M169" s="25"/>
      <c r="N169" s="52">
        <f>K169+L169</f>
        <v>8832</v>
      </c>
      <c r="O169" s="25"/>
      <c r="P169" s="5"/>
    </row>
    <row r="170" spans="1:256" ht="15.6" x14ac:dyDescent="0.3">
      <c r="A170" s="24"/>
      <c r="B170" s="25" t="s">
        <v>60</v>
      </c>
      <c r="C170" s="25"/>
      <c r="D170" s="25"/>
      <c r="E170" s="25"/>
      <c r="F170" s="25"/>
      <c r="G170" s="25"/>
      <c r="H170" s="25"/>
      <c r="I170" s="25"/>
      <c r="J170" s="25"/>
      <c r="K170" s="52" t="s">
        <v>117</v>
      </c>
      <c r="L170" s="40" t="s">
        <v>117</v>
      </c>
      <c r="M170" s="25"/>
      <c r="N170" s="52"/>
      <c r="O170" s="25"/>
      <c r="P170" s="5"/>
    </row>
    <row r="171" spans="1:256" ht="16.2" thickBot="1" x14ac:dyDescent="0.35">
      <c r="A171" s="24"/>
      <c r="B171" s="25"/>
      <c r="C171" s="25"/>
      <c r="D171" s="25"/>
      <c r="E171" s="25"/>
      <c r="F171" s="25"/>
      <c r="G171" s="25"/>
      <c r="H171" s="25"/>
      <c r="I171" s="25"/>
      <c r="J171" s="25"/>
      <c r="K171" s="25"/>
      <c r="L171" s="25"/>
      <c r="M171" s="25"/>
      <c r="N171" s="59"/>
      <c r="O171" s="25"/>
      <c r="P171" s="5"/>
    </row>
    <row r="172" spans="1:256" ht="15.6" x14ac:dyDescent="0.3">
      <c r="A172" s="2"/>
      <c r="B172" s="4"/>
      <c r="C172" s="4"/>
      <c r="D172" s="4"/>
      <c r="E172" s="4"/>
      <c r="F172" s="4"/>
      <c r="G172" s="4"/>
      <c r="H172" s="4"/>
      <c r="I172" s="4"/>
      <c r="J172" s="4"/>
      <c r="K172" s="4"/>
      <c r="L172" s="4"/>
      <c r="M172" s="4"/>
      <c r="N172" s="49"/>
      <c r="O172" s="4"/>
      <c r="P172" s="5"/>
    </row>
    <row r="173" spans="1:256" ht="15.6" x14ac:dyDescent="0.3">
      <c r="A173" s="6"/>
      <c r="B173" s="114" t="s">
        <v>61</v>
      </c>
      <c r="C173" s="8"/>
      <c r="D173" s="8"/>
      <c r="E173" s="8"/>
      <c r="F173" s="8"/>
      <c r="G173" s="8"/>
      <c r="H173" s="8"/>
      <c r="I173" s="8"/>
      <c r="J173" s="8"/>
      <c r="K173" s="8"/>
      <c r="L173" s="8"/>
      <c r="M173" s="8"/>
      <c r="N173" s="63"/>
      <c r="O173" s="8"/>
      <c r="P173" s="5"/>
    </row>
    <row r="174" spans="1:256" ht="15.6" x14ac:dyDescent="0.3">
      <c r="A174" s="24"/>
      <c r="B174" s="25" t="s">
        <v>62</v>
      </c>
      <c r="C174" s="25"/>
      <c r="D174" s="25"/>
      <c r="E174" s="25"/>
      <c r="F174" s="25"/>
      <c r="G174" s="25"/>
      <c r="H174" s="25"/>
      <c r="I174" s="25"/>
      <c r="J174" s="25"/>
      <c r="K174" s="25"/>
      <c r="L174" s="25"/>
      <c r="M174" s="25"/>
      <c r="N174" s="57">
        <f>(N88+N90+N91+N92+N93)/-N94</f>
        <v>2.2653061224489797</v>
      </c>
      <c r="O174" s="25" t="s">
        <v>115</v>
      </c>
      <c r="P174" s="5"/>
    </row>
    <row r="175" spans="1:256" ht="15.6" x14ac:dyDescent="0.3">
      <c r="A175" s="24"/>
      <c r="B175" s="25" t="s">
        <v>63</v>
      </c>
      <c r="C175" s="25"/>
      <c r="D175" s="25"/>
      <c r="E175" s="25"/>
      <c r="F175" s="25"/>
      <c r="G175" s="25"/>
      <c r="H175" s="25"/>
      <c r="I175" s="25"/>
      <c r="J175" s="25"/>
      <c r="K175" s="25"/>
      <c r="L175" s="25"/>
      <c r="M175" s="25"/>
      <c r="N175" s="64">
        <v>1.43</v>
      </c>
      <c r="O175" s="25" t="s">
        <v>115</v>
      </c>
      <c r="P175" s="5"/>
    </row>
    <row r="176" spans="1:256" ht="15.6" x14ac:dyDescent="0.3">
      <c r="A176" s="24"/>
      <c r="B176" s="25" t="s">
        <v>64</v>
      </c>
      <c r="C176" s="25"/>
      <c r="D176" s="25"/>
      <c r="E176" s="25"/>
      <c r="F176" s="25"/>
      <c r="G176" s="25"/>
      <c r="H176" s="25"/>
      <c r="I176" s="25"/>
      <c r="J176" s="25"/>
      <c r="K176" s="25"/>
      <c r="L176" s="25"/>
      <c r="M176" s="25"/>
      <c r="N176" s="57">
        <f>(N88+N90+N91+N92+N93+N94)/-N96</f>
        <v>45.090909090909093</v>
      </c>
      <c r="O176" s="25" t="s">
        <v>115</v>
      </c>
      <c r="P176" s="5"/>
    </row>
    <row r="177" spans="1:16" ht="15.6" x14ac:dyDescent="0.3">
      <c r="A177" s="24"/>
      <c r="B177" s="25" t="s">
        <v>65</v>
      </c>
      <c r="C177" s="25"/>
      <c r="D177" s="25"/>
      <c r="E177" s="25"/>
      <c r="F177" s="25"/>
      <c r="G177" s="25"/>
      <c r="H177" s="25"/>
      <c r="I177" s="25"/>
      <c r="J177" s="25"/>
      <c r="K177" s="25"/>
      <c r="L177" s="25"/>
      <c r="M177" s="25"/>
      <c r="N177" s="64">
        <v>20.75</v>
      </c>
      <c r="O177" s="25" t="s">
        <v>115</v>
      </c>
      <c r="P177" s="5"/>
    </row>
    <row r="178" spans="1:16" ht="15.6" x14ac:dyDescent="0.3">
      <c r="A178" s="24"/>
      <c r="B178" s="25" t="s">
        <v>166</v>
      </c>
      <c r="C178" s="25"/>
      <c r="D178" s="25"/>
      <c r="E178" s="25"/>
      <c r="F178" s="25"/>
      <c r="G178" s="25"/>
      <c r="H178" s="25"/>
      <c r="I178" s="25"/>
      <c r="J178" s="25"/>
      <c r="K178" s="25"/>
      <c r="L178" s="25"/>
      <c r="M178" s="25"/>
      <c r="N178" s="57">
        <f>(N88+N90+N91+N92+N93+N94+N96)/-N97</f>
        <v>42.794117647058826</v>
      </c>
      <c r="O178" s="25" t="s">
        <v>115</v>
      </c>
      <c r="P178" s="5"/>
    </row>
    <row r="179" spans="1:16" ht="15.6" x14ac:dyDescent="0.3">
      <c r="A179" s="24"/>
      <c r="B179" s="25" t="s">
        <v>167</v>
      </c>
      <c r="C179" s="25"/>
      <c r="D179" s="25"/>
      <c r="E179" s="25"/>
      <c r="F179" s="25"/>
      <c r="G179" s="25"/>
      <c r="H179" s="25"/>
      <c r="I179" s="25"/>
      <c r="J179" s="25"/>
      <c r="K179" s="25"/>
      <c r="L179" s="25"/>
      <c r="M179" s="25"/>
      <c r="N179" s="64">
        <v>19.36</v>
      </c>
      <c r="O179" s="25" t="s">
        <v>115</v>
      </c>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24"/>
      <c r="B181" s="25"/>
      <c r="C181" s="25"/>
      <c r="D181" s="25"/>
      <c r="E181" s="25"/>
      <c r="F181" s="25"/>
      <c r="G181" s="25"/>
      <c r="H181" s="25"/>
      <c r="I181" s="25"/>
      <c r="J181" s="25"/>
      <c r="K181" s="25"/>
      <c r="L181" s="25"/>
      <c r="M181" s="25"/>
      <c r="N181" s="25"/>
      <c r="O181" s="25"/>
      <c r="P181" s="5"/>
    </row>
    <row r="182" spans="1:16" ht="15.6" x14ac:dyDescent="0.3">
      <c r="A182" s="6"/>
      <c r="B182" s="8"/>
      <c r="C182" s="8"/>
      <c r="D182" s="8"/>
      <c r="E182" s="8"/>
      <c r="F182" s="8"/>
      <c r="G182" s="8"/>
      <c r="H182" s="8"/>
      <c r="I182" s="8"/>
      <c r="J182" s="8"/>
      <c r="K182" s="8"/>
      <c r="L182" s="8"/>
      <c r="M182" s="8"/>
      <c r="N182" s="8"/>
      <c r="O182" s="8"/>
      <c r="P182" s="5"/>
    </row>
    <row r="183" spans="1:16" ht="18" thickBot="1" x14ac:dyDescent="0.35">
      <c r="A183" s="96"/>
      <c r="B183" s="97" t="str">
        <f>B116</f>
        <v>FF7 INVESTOR REPORT QUARTER ENDING FEBRUARY 2009</v>
      </c>
      <c r="C183" s="177"/>
      <c r="D183" s="177"/>
      <c r="E183" s="177"/>
      <c r="F183" s="177"/>
      <c r="G183" s="177"/>
      <c r="H183" s="177"/>
      <c r="I183" s="177"/>
      <c r="J183" s="177"/>
      <c r="K183" s="177"/>
      <c r="L183" s="177"/>
      <c r="M183" s="177"/>
      <c r="N183" s="177"/>
      <c r="O183" s="178"/>
      <c r="P183" s="5"/>
    </row>
    <row r="184" spans="1:16" ht="15.6" x14ac:dyDescent="0.3">
      <c r="A184" s="65"/>
      <c r="B184" s="58" t="s">
        <v>66</v>
      </c>
      <c r="C184" s="66"/>
      <c r="D184" s="67"/>
      <c r="E184" s="67"/>
      <c r="F184" s="67"/>
      <c r="G184" s="67"/>
      <c r="H184" s="67"/>
      <c r="I184" s="67"/>
      <c r="J184" s="67"/>
      <c r="K184" s="67"/>
      <c r="L184" s="68">
        <v>39871</v>
      </c>
      <c r="M184" s="4"/>
      <c r="N184" s="4"/>
      <c r="O184" s="4"/>
      <c r="P184" s="5"/>
    </row>
    <row r="185" spans="1:16" ht="15.6" x14ac:dyDescent="0.3">
      <c r="A185" s="69"/>
      <c r="B185" s="70"/>
      <c r="C185" s="71"/>
      <c r="D185" s="72"/>
      <c r="E185" s="72"/>
      <c r="F185" s="72"/>
      <c r="G185" s="72"/>
      <c r="H185" s="72"/>
      <c r="I185" s="72"/>
      <c r="J185" s="72"/>
      <c r="K185" s="72"/>
      <c r="L185" s="72"/>
      <c r="M185" s="8"/>
      <c r="N185" s="8"/>
      <c r="O185" s="8"/>
      <c r="P185" s="5"/>
    </row>
    <row r="186" spans="1:16" ht="15.6" x14ac:dyDescent="0.3">
      <c r="A186" s="73"/>
      <c r="B186" s="74" t="s">
        <v>67</v>
      </c>
      <c r="C186" s="75"/>
      <c r="D186" s="62"/>
      <c r="E186" s="62"/>
      <c r="F186" s="62"/>
      <c r="G186" s="62"/>
      <c r="H186" s="62"/>
      <c r="I186" s="62"/>
      <c r="J186" s="62"/>
      <c r="K186" s="62"/>
      <c r="L186" s="76">
        <v>7.2950000000000001E-2</v>
      </c>
      <c r="M186" s="25"/>
      <c r="N186" s="25"/>
      <c r="O186" s="25"/>
      <c r="P186" s="5"/>
    </row>
    <row r="187" spans="1:16" ht="15.6" x14ac:dyDescent="0.3">
      <c r="A187" s="73"/>
      <c r="B187" s="74" t="s">
        <v>213</v>
      </c>
      <c r="C187" s="75"/>
      <c r="D187" s="62"/>
      <c r="E187" s="62"/>
      <c r="F187" s="62"/>
      <c r="G187" s="62"/>
      <c r="H187" s="62"/>
      <c r="I187" s="62"/>
      <c r="J187" s="62"/>
      <c r="K187" s="62"/>
      <c r="L187" s="39">
        <v>5.79E-2</v>
      </c>
      <c r="M187" s="25"/>
      <c r="N187" s="25"/>
      <c r="O187" s="25"/>
      <c r="P187" s="5"/>
    </row>
    <row r="188" spans="1:16" ht="15.6" x14ac:dyDescent="0.3">
      <c r="A188" s="73"/>
      <c r="B188" s="74" t="s">
        <v>68</v>
      </c>
      <c r="C188" s="75"/>
      <c r="D188" s="62"/>
      <c r="E188" s="62"/>
      <c r="F188" s="62"/>
      <c r="G188" s="62"/>
      <c r="H188" s="62"/>
      <c r="I188" s="62"/>
      <c r="J188" s="62"/>
      <c r="K188" s="62"/>
      <c r="L188" s="76">
        <f>L186-L187</f>
        <v>1.5050000000000001E-2</v>
      </c>
      <c r="M188" s="25"/>
      <c r="N188" s="25"/>
      <c r="O188" s="25"/>
      <c r="P188" s="5"/>
    </row>
    <row r="189" spans="1:16" ht="15.6" x14ac:dyDescent="0.3">
      <c r="A189" s="73"/>
      <c r="B189" s="74" t="s">
        <v>69</v>
      </c>
      <c r="C189" s="75"/>
      <c r="D189" s="62"/>
      <c r="E189" s="62"/>
      <c r="F189" s="62"/>
      <c r="G189" s="62"/>
      <c r="H189" s="62"/>
      <c r="I189" s="62"/>
      <c r="J189" s="62"/>
      <c r="K189" s="62"/>
      <c r="L189" s="76">
        <v>6.2939999999999996E-2</v>
      </c>
      <c r="M189" s="25"/>
      <c r="N189" s="25"/>
      <c r="O189" s="25"/>
      <c r="P189" s="5"/>
    </row>
    <row r="190" spans="1:16" ht="15.6" x14ac:dyDescent="0.3">
      <c r="A190" s="73"/>
      <c r="B190" s="74" t="s">
        <v>212</v>
      </c>
      <c r="C190" s="75"/>
      <c r="D190" s="62"/>
      <c r="E190" s="62"/>
      <c r="F190" s="62"/>
      <c r="G190" s="62"/>
      <c r="H190" s="62"/>
      <c r="I190" s="62"/>
      <c r="J190" s="62"/>
      <c r="K190" s="62"/>
      <c r="L190" s="76">
        <f>N34</f>
        <v>3.2583174241126098E-2</v>
      </c>
      <c r="M190" s="25"/>
      <c r="N190" s="25"/>
      <c r="O190" s="25"/>
      <c r="P190" s="5"/>
    </row>
    <row r="191" spans="1:16" ht="15.6" x14ac:dyDescent="0.3">
      <c r="A191" s="73"/>
      <c r="B191" s="74" t="s">
        <v>70</v>
      </c>
      <c r="C191" s="75"/>
      <c r="D191" s="62"/>
      <c r="E191" s="62"/>
      <c r="F191" s="62"/>
      <c r="G191" s="62"/>
      <c r="H191" s="62"/>
      <c r="I191" s="62"/>
      <c r="J191" s="62"/>
      <c r="K191" s="62"/>
      <c r="L191" s="76">
        <f>L189-L190</f>
        <v>3.0356825758873898E-2</v>
      </c>
      <c r="M191" s="25"/>
      <c r="N191" s="25"/>
      <c r="O191" s="25"/>
      <c r="P191" s="5"/>
    </row>
    <row r="192" spans="1:16" ht="15.6" x14ac:dyDescent="0.3">
      <c r="A192" s="73"/>
      <c r="B192" s="74" t="s">
        <v>203</v>
      </c>
      <c r="C192" s="75"/>
      <c r="D192" s="62"/>
      <c r="E192" s="62"/>
      <c r="F192" s="62"/>
      <c r="G192" s="62"/>
      <c r="H192" s="62"/>
      <c r="I192" s="62"/>
      <c r="J192" s="62"/>
      <c r="K192" s="62"/>
      <c r="L192" s="76">
        <f>+N88/F60</f>
        <v>1.7775927022402091E-2</v>
      </c>
      <c r="M192" s="25"/>
      <c r="N192" s="25"/>
      <c r="O192" s="25"/>
      <c r="P192" s="5"/>
    </row>
    <row r="193" spans="1:16" ht="15.6" x14ac:dyDescent="0.3">
      <c r="A193" s="73"/>
      <c r="B193" s="74" t="s">
        <v>171</v>
      </c>
      <c r="C193" s="75"/>
      <c r="D193" s="62"/>
      <c r="E193" s="62"/>
      <c r="F193" s="62"/>
      <c r="G193" s="62"/>
      <c r="H193" s="62"/>
      <c r="I193" s="62"/>
      <c r="J193" s="62"/>
      <c r="K193" s="62"/>
      <c r="L193" s="122">
        <v>48823</v>
      </c>
      <c r="M193" s="25"/>
      <c r="N193" s="25"/>
      <c r="O193" s="25"/>
      <c r="P193" s="5"/>
    </row>
    <row r="194" spans="1:16" ht="15.6" x14ac:dyDescent="0.3">
      <c r="A194" s="73"/>
      <c r="B194" s="74" t="s">
        <v>172</v>
      </c>
      <c r="C194" s="75"/>
      <c r="D194" s="62"/>
      <c r="E194" s="62"/>
      <c r="F194" s="62"/>
      <c r="G194" s="62"/>
      <c r="H194" s="62"/>
      <c r="I194" s="62"/>
      <c r="J194" s="62"/>
      <c r="K194" s="62"/>
      <c r="L194" s="122">
        <v>48823</v>
      </c>
      <c r="M194" s="25"/>
      <c r="N194" s="25"/>
      <c r="O194" s="25"/>
      <c r="P194" s="5"/>
    </row>
    <row r="195" spans="1:16" ht="15.6" x14ac:dyDescent="0.3">
      <c r="A195" s="73"/>
      <c r="B195" s="74" t="s">
        <v>173</v>
      </c>
      <c r="C195" s="75"/>
      <c r="D195" s="62"/>
      <c r="E195" s="62"/>
      <c r="F195" s="62"/>
      <c r="G195" s="62"/>
      <c r="H195" s="62"/>
      <c r="I195" s="62"/>
      <c r="J195" s="62"/>
      <c r="K195" s="62"/>
      <c r="L195" s="122">
        <v>48823</v>
      </c>
      <c r="M195" s="25"/>
      <c r="N195" s="25"/>
      <c r="O195" s="25"/>
      <c r="P195" s="5"/>
    </row>
    <row r="196" spans="1:16" ht="15.6" x14ac:dyDescent="0.3">
      <c r="A196" s="73"/>
      <c r="B196" s="74" t="s">
        <v>71</v>
      </c>
      <c r="C196" s="75"/>
      <c r="D196" s="62"/>
      <c r="E196" s="62"/>
      <c r="F196" s="62"/>
      <c r="G196" s="62"/>
      <c r="H196" s="62"/>
      <c r="I196" s="62"/>
      <c r="J196" s="62"/>
      <c r="K196" s="62"/>
      <c r="L196" s="126">
        <v>9.93</v>
      </c>
      <c r="M196" s="25" t="s">
        <v>110</v>
      </c>
      <c r="N196" s="25"/>
      <c r="O196" s="25"/>
      <c r="P196" s="5"/>
    </row>
    <row r="197" spans="1:16" ht="15.6" x14ac:dyDescent="0.3">
      <c r="A197" s="73"/>
      <c r="B197" s="74" t="s">
        <v>72</v>
      </c>
      <c r="C197" s="75"/>
      <c r="D197" s="62"/>
      <c r="E197" s="62"/>
      <c r="F197" s="62"/>
      <c r="G197" s="62"/>
      <c r="H197" s="62"/>
      <c r="I197" s="62"/>
      <c r="J197" s="62"/>
      <c r="K197" s="62"/>
      <c r="L197" s="126">
        <v>7.55</v>
      </c>
      <c r="M197" s="25" t="s">
        <v>110</v>
      </c>
      <c r="N197" s="25"/>
      <c r="O197" s="25"/>
      <c r="P197" s="5"/>
    </row>
    <row r="198" spans="1:16" ht="15.6" x14ac:dyDescent="0.3">
      <c r="A198" s="73"/>
      <c r="B198" s="74" t="s">
        <v>73</v>
      </c>
      <c r="C198" s="75"/>
      <c r="D198" s="62"/>
      <c r="E198" s="62"/>
      <c r="F198" s="62"/>
      <c r="G198" s="62"/>
      <c r="H198" s="62"/>
      <c r="I198" s="62"/>
      <c r="J198" s="62"/>
      <c r="K198" s="62"/>
      <c r="L198" s="76">
        <f>+H57/F57</f>
        <v>6.5734749707823795E-2</v>
      </c>
      <c r="M198" s="25"/>
      <c r="N198" s="25"/>
      <c r="O198" s="25"/>
      <c r="P198" s="5"/>
    </row>
    <row r="199" spans="1:16" ht="15.6" x14ac:dyDescent="0.3">
      <c r="A199" s="73"/>
      <c r="B199" s="74" t="s">
        <v>74</v>
      </c>
      <c r="C199" s="75"/>
      <c r="D199" s="62"/>
      <c r="E199" s="62"/>
      <c r="F199" s="62"/>
      <c r="G199" s="62"/>
      <c r="H199" s="62"/>
      <c r="I199" s="62"/>
      <c r="J199" s="62"/>
      <c r="K199" s="62"/>
      <c r="L199" s="76">
        <v>0.31190000000000001</v>
      </c>
      <c r="M199" s="25"/>
      <c r="N199" s="25"/>
      <c r="O199" s="25"/>
      <c r="P199" s="5"/>
    </row>
    <row r="200" spans="1:16" ht="15.6" x14ac:dyDescent="0.3">
      <c r="A200" s="73"/>
      <c r="B200" s="74"/>
      <c r="C200" s="74"/>
      <c r="D200" s="25"/>
      <c r="E200" s="25"/>
      <c r="F200" s="25"/>
      <c r="G200" s="25"/>
      <c r="H200" s="25"/>
      <c r="I200" s="25"/>
      <c r="J200" s="25"/>
      <c r="K200" s="25"/>
      <c r="L200" s="59"/>
      <c r="M200" s="25"/>
      <c r="N200" s="77"/>
      <c r="O200" s="25"/>
      <c r="P200" s="5"/>
    </row>
    <row r="201" spans="1:16" ht="15.6" x14ac:dyDescent="0.3">
      <c r="A201" s="78"/>
      <c r="B201" s="14" t="s">
        <v>75</v>
      </c>
      <c r="C201" s="79"/>
      <c r="D201" s="17"/>
      <c r="E201" s="17"/>
      <c r="F201" s="17"/>
      <c r="G201" s="17"/>
      <c r="H201" s="17"/>
      <c r="I201" s="17"/>
      <c r="J201" s="17"/>
      <c r="K201" s="17" t="s">
        <v>99</v>
      </c>
      <c r="L201" s="80" t="s">
        <v>106</v>
      </c>
      <c r="M201" s="8"/>
      <c r="N201" s="8"/>
      <c r="O201" s="8"/>
      <c r="P201" s="5"/>
    </row>
    <row r="202" spans="1:16" ht="15.6" x14ac:dyDescent="0.3">
      <c r="A202" s="81"/>
      <c r="B202" s="74" t="s">
        <v>76</v>
      </c>
      <c r="C202" s="53"/>
      <c r="D202" s="30"/>
      <c r="E202" s="30"/>
      <c r="F202" s="30"/>
      <c r="G202" s="30"/>
      <c r="H202" s="30"/>
      <c r="I202" s="30"/>
      <c r="J202" s="30"/>
      <c r="K202" s="30">
        <v>13</v>
      </c>
      <c r="L202" s="82">
        <v>1663</v>
      </c>
      <c r="M202" s="25"/>
      <c r="N202" s="77"/>
      <c r="O202" s="83"/>
      <c r="P202" s="5"/>
    </row>
    <row r="203" spans="1:16" ht="15.6" x14ac:dyDescent="0.3">
      <c r="A203" s="81"/>
      <c r="B203" s="74" t="s">
        <v>136</v>
      </c>
      <c r="C203" s="53"/>
      <c r="D203" s="30"/>
      <c r="E203" s="30"/>
      <c r="F203" s="30"/>
      <c r="G203" s="30"/>
      <c r="H203" s="30"/>
      <c r="I203" s="30"/>
      <c r="J203" s="30"/>
      <c r="K203" s="142">
        <f>+J253</f>
        <v>1</v>
      </c>
      <c r="L203" s="82">
        <f>+L253</f>
        <v>110</v>
      </c>
      <c r="M203" s="25"/>
      <c r="N203" s="77"/>
      <c r="O203" s="83"/>
      <c r="P203" s="5"/>
    </row>
    <row r="204" spans="1:16" ht="15.6" x14ac:dyDescent="0.3">
      <c r="A204" s="81"/>
      <c r="B204" s="74" t="s">
        <v>77</v>
      </c>
      <c r="C204" s="53"/>
      <c r="D204" s="30"/>
      <c r="E204" s="30"/>
      <c r="F204" s="30"/>
      <c r="G204" s="30"/>
      <c r="H204" s="30"/>
      <c r="I204" s="30"/>
      <c r="J204" s="30"/>
      <c r="K204" s="142">
        <f>+J270</f>
        <v>2</v>
      </c>
      <c r="L204" s="82">
        <f>+L270</f>
        <v>145</v>
      </c>
      <c r="M204" s="25"/>
      <c r="N204" s="77"/>
      <c r="O204" s="83"/>
      <c r="P204" s="5"/>
    </row>
    <row r="205" spans="1:16" ht="15.6" x14ac:dyDescent="0.3">
      <c r="A205" s="81"/>
      <c r="B205" s="117" t="s">
        <v>78</v>
      </c>
      <c r="C205" s="53"/>
      <c r="D205" s="25"/>
      <c r="E205" s="25"/>
      <c r="F205" s="25"/>
      <c r="G205" s="25"/>
      <c r="H205" s="25"/>
      <c r="I205" s="25"/>
      <c r="J205" s="25"/>
      <c r="K205" s="25"/>
      <c r="L205" s="82">
        <v>0</v>
      </c>
      <c r="M205" s="25"/>
      <c r="N205" s="77"/>
      <c r="O205" s="83"/>
      <c r="P205" s="5"/>
    </row>
    <row r="206" spans="1:16" ht="15.6" x14ac:dyDescent="0.3">
      <c r="A206" s="81"/>
      <c r="B206" s="117" t="s">
        <v>79</v>
      </c>
      <c r="C206" s="53"/>
      <c r="D206" s="25"/>
      <c r="E206" s="25"/>
      <c r="F206" s="25"/>
      <c r="G206" s="25"/>
      <c r="H206" s="25"/>
      <c r="I206" s="25"/>
      <c r="J206" s="25"/>
      <c r="K206" s="25"/>
      <c r="L206" s="60" t="s">
        <v>107</v>
      </c>
      <c r="M206" s="25"/>
      <c r="N206" s="77"/>
      <c r="O206" s="83"/>
      <c r="P206" s="5"/>
    </row>
    <row r="207" spans="1:16" ht="15.6" x14ac:dyDescent="0.3">
      <c r="A207" s="84"/>
      <c r="B207" s="117" t="s">
        <v>80</v>
      </c>
      <c r="C207" s="74"/>
      <c r="D207" s="25"/>
      <c r="E207" s="25"/>
      <c r="F207" s="25"/>
      <c r="G207" s="25"/>
      <c r="H207" s="25"/>
      <c r="I207" s="25"/>
      <c r="J207" s="25"/>
      <c r="K207" s="25"/>
      <c r="L207" s="82"/>
      <c r="M207" s="25"/>
      <c r="N207" s="77"/>
      <c r="O207" s="85"/>
      <c r="P207" s="5"/>
    </row>
    <row r="208" spans="1:16" ht="15.6" x14ac:dyDescent="0.3">
      <c r="A208" s="84"/>
      <c r="B208" s="124" t="s">
        <v>81</v>
      </c>
      <c r="C208" s="74"/>
      <c r="D208" s="25"/>
      <c r="E208" s="25"/>
      <c r="F208" s="25"/>
      <c r="G208" s="25"/>
      <c r="H208" s="25"/>
      <c r="I208" s="25"/>
      <c r="J208" s="25"/>
      <c r="K208" s="30"/>
      <c r="L208" s="82">
        <f>N145</f>
        <v>-4</v>
      </c>
      <c r="M208" s="25"/>
      <c r="N208" s="77"/>
      <c r="O208" s="85"/>
      <c r="P208" s="5"/>
    </row>
    <row r="209" spans="1:17" ht="15.6" x14ac:dyDescent="0.3">
      <c r="A209" s="81"/>
      <c r="B209" s="74" t="s">
        <v>82</v>
      </c>
      <c r="C209" s="53"/>
      <c r="D209" s="25"/>
      <c r="E209" s="25"/>
      <c r="F209" s="25"/>
      <c r="G209" s="25"/>
      <c r="H209" s="25"/>
      <c r="I209" s="25"/>
      <c r="J209" s="25"/>
      <c r="K209" s="30"/>
      <c r="L209" s="82">
        <f>'Nov 08'!L209+L208</f>
        <v>35</v>
      </c>
      <c r="M209" s="25"/>
      <c r="N209" s="77"/>
      <c r="O209" s="85"/>
      <c r="P209" s="5"/>
    </row>
    <row r="210" spans="1:17" ht="15.6" x14ac:dyDescent="0.3">
      <c r="A210" s="84"/>
      <c r="B210" s="117" t="s">
        <v>253</v>
      </c>
      <c r="C210" s="74"/>
      <c r="D210" s="25"/>
      <c r="E210" s="25"/>
      <c r="F210" s="25"/>
      <c r="G210" s="25"/>
      <c r="H210" s="25"/>
      <c r="I210" s="25"/>
      <c r="J210" s="25"/>
      <c r="K210" s="30"/>
      <c r="L210" s="82"/>
      <c r="M210" s="25"/>
      <c r="N210" s="77"/>
      <c r="O210" s="85"/>
      <c r="P210" s="5"/>
    </row>
    <row r="211" spans="1:17" ht="15.6" x14ac:dyDescent="0.3">
      <c r="A211" s="84"/>
      <c r="B211" s="74" t="s">
        <v>250</v>
      </c>
      <c r="C211" s="74"/>
      <c r="D211" s="25"/>
      <c r="E211" s="25"/>
      <c r="F211" s="25"/>
      <c r="G211" s="25"/>
      <c r="H211" s="25"/>
      <c r="I211" s="25"/>
      <c r="J211" s="25"/>
      <c r="K211" s="30">
        <v>0</v>
      </c>
      <c r="L211" s="82">
        <v>0</v>
      </c>
      <c r="M211" s="25"/>
      <c r="N211" s="77"/>
      <c r="O211" s="85"/>
      <c r="P211" s="5"/>
    </row>
    <row r="212" spans="1:17" ht="15.6" x14ac:dyDescent="0.3">
      <c r="A212" s="81"/>
      <c r="B212" s="74" t="s">
        <v>83</v>
      </c>
      <c r="C212" s="86"/>
      <c r="D212" s="25"/>
      <c r="E212" s="25"/>
      <c r="F212" s="25"/>
      <c r="G212" s="25"/>
      <c r="H212" s="25"/>
      <c r="I212" s="25"/>
      <c r="J212" s="25"/>
      <c r="K212" s="25"/>
      <c r="L212" s="60">
        <v>0</v>
      </c>
      <c r="M212" s="25"/>
      <c r="N212" s="77"/>
      <c r="O212" s="85"/>
      <c r="P212" s="5"/>
    </row>
    <row r="213" spans="1:17" ht="15.6" x14ac:dyDescent="0.3">
      <c r="A213" s="81"/>
      <c r="B213" s="74" t="s">
        <v>84</v>
      </c>
      <c r="C213" s="86"/>
      <c r="D213" s="25"/>
      <c r="E213" s="25"/>
      <c r="F213" s="25"/>
      <c r="G213" s="25"/>
      <c r="H213" s="25"/>
      <c r="I213" s="25"/>
      <c r="J213" s="25"/>
      <c r="K213" s="25"/>
      <c r="L213" s="60">
        <v>0</v>
      </c>
      <c r="M213" s="25"/>
      <c r="N213" s="77"/>
      <c r="O213" s="85"/>
      <c r="P213" s="5"/>
    </row>
    <row r="214" spans="1:17" ht="15.6" x14ac:dyDescent="0.3">
      <c r="A214" s="81"/>
      <c r="B214" s="117" t="s">
        <v>177</v>
      </c>
      <c r="C214" s="86"/>
      <c r="D214" s="25"/>
      <c r="E214" s="25"/>
      <c r="F214" s="25"/>
      <c r="G214" s="25"/>
      <c r="H214" s="25"/>
      <c r="I214" s="25"/>
      <c r="J214" s="25"/>
      <c r="K214" s="25"/>
      <c r="L214" s="87"/>
      <c r="M214" s="25"/>
      <c r="N214" s="77"/>
      <c r="O214" s="85"/>
      <c r="P214" s="5"/>
    </row>
    <row r="215" spans="1:17" ht="15.6" x14ac:dyDescent="0.3">
      <c r="A215" s="81"/>
      <c r="B215" s="74" t="s">
        <v>250</v>
      </c>
      <c r="C215" s="86"/>
      <c r="D215" s="25"/>
      <c r="E215" s="25"/>
      <c r="F215" s="25"/>
      <c r="G215" s="25"/>
      <c r="H215" s="25"/>
      <c r="I215" s="25"/>
      <c r="J215" s="25"/>
      <c r="K215" s="30">
        <v>0</v>
      </c>
      <c r="L215" s="82">
        <v>0</v>
      </c>
      <c r="M215" s="25"/>
      <c r="N215" s="77"/>
      <c r="O215" s="85"/>
      <c r="P215" s="5"/>
    </row>
    <row r="216" spans="1:17" ht="15.6" x14ac:dyDescent="0.3">
      <c r="A216" s="81"/>
      <c r="B216" s="74" t="s">
        <v>178</v>
      </c>
      <c r="C216" s="86"/>
      <c r="D216" s="25"/>
      <c r="E216" s="25"/>
      <c r="F216" s="25"/>
      <c r="G216" s="25"/>
      <c r="H216" s="25"/>
      <c r="I216" s="25"/>
      <c r="J216" s="25"/>
      <c r="K216" s="25"/>
      <c r="L216" s="60">
        <v>0</v>
      </c>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5.6" x14ac:dyDescent="0.3">
      <c r="A218" s="81"/>
      <c r="B218" s="74"/>
      <c r="C218" s="86"/>
      <c r="D218" s="25"/>
      <c r="E218" s="25"/>
      <c r="F218" s="25"/>
      <c r="G218" s="25"/>
      <c r="H218" s="25"/>
      <c r="I218" s="25"/>
      <c r="J218" s="25"/>
      <c r="K218" s="25"/>
      <c r="L218" s="87"/>
      <c r="M218" s="25"/>
      <c r="N218" s="77"/>
      <c r="O218" s="85"/>
      <c r="P218" s="5"/>
    </row>
    <row r="219" spans="1:17" ht="17.399999999999999" x14ac:dyDescent="0.3">
      <c r="A219" s="81"/>
      <c r="B219" s="140" t="s">
        <v>238</v>
      </c>
      <c r="C219" s="86"/>
      <c r="D219" s="25"/>
      <c r="E219" s="25"/>
      <c r="F219" s="25"/>
      <c r="G219" s="25"/>
      <c r="H219" s="180" t="s">
        <v>237</v>
      </c>
      <c r="I219" s="25"/>
      <c r="J219" s="25"/>
      <c r="K219" s="25"/>
      <c r="L219" s="87"/>
      <c r="M219" s="25"/>
      <c r="N219" s="77"/>
      <c r="O219" s="85"/>
      <c r="P219" s="5"/>
    </row>
    <row r="220" spans="1:17" ht="15.6" x14ac:dyDescent="0.3">
      <c r="A220" s="81"/>
      <c r="B220" s="74"/>
      <c r="C220" s="86"/>
      <c r="D220" s="25"/>
      <c r="E220" s="25"/>
      <c r="F220" s="25"/>
      <c r="G220" s="25"/>
      <c r="H220" s="25"/>
      <c r="I220" s="25"/>
      <c r="J220" s="25"/>
      <c r="K220" s="25"/>
      <c r="L220" s="87"/>
      <c r="M220" s="25"/>
      <c r="N220" s="77"/>
      <c r="O220" s="85"/>
      <c r="P220" s="5"/>
    </row>
    <row r="221" spans="1:17" ht="15.6" x14ac:dyDescent="0.3">
      <c r="A221" s="6"/>
      <c r="B221" s="14" t="s">
        <v>149</v>
      </c>
      <c r="C221" s="79"/>
      <c r="D221" s="17"/>
      <c r="E221" s="17"/>
      <c r="F221" s="17"/>
      <c r="G221" s="17"/>
      <c r="H221" s="17"/>
      <c r="I221" s="17"/>
      <c r="J221" s="80" t="s">
        <v>99</v>
      </c>
      <c r="K221" s="17" t="s">
        <v>100</v>
      </c>
      <c r="L221" s="80" t="s">
        <v>108</v>
      </c>
      <c r="M221" s="17" t="s">
        <v>100</v>
      </c>
      <c r="N221" s="8"/>
      <c r="O221" s="88"/>
      <c r="P221" s="5"/>
    </row>
    <row r="222" spans="1:17" ht="15.6" x14ac:dyDescent="0.3">
      <c r="A222" s="24"/>
      <c r="B222" s="53" t="s">
        <v>85</v>
      </c>
      <c r="C222" s="89"/>
      <c r="D222" s="89"/>
      <c r="E222" s="89"/>
      <c r="F222" s="89"/>
      <c r="G222" s="89"/>
      <c r="H222" s="89"/>
      <c r="I222" s="89"/>
      <c r="J222" s="53">
        <v>3181</v>
      </c>
      <c r="K222" s="90">
        <f t="shared" ref="K222:K234" si="1">J222/$J$236</f>
        <v>0.91697895647160566</v>
      </c>
      <c r="L222" s="52">
        <v>128849</v>
      </c>
      <c r="M222" s="125">
        <f t="shared" ref="M222:M234" si="2">L222/$L$236</f>
        <v>0.88341080806834227</v>
      </c>
      <c r="N222" s="77"/>
      <c r="O222" s="85"/>
      <c r="P222" s="5"/>
    </row>
    <row r="223" spans="1:17" ht="15.6" x14ac:dyDescent="0.3">
      <c r="A223" s="24"/>
      <c r="B223" s="53" t="s">
        <v>86</v>
      </c>
      <c r="C223" s="89"/>
      <c r="D223" s="89"/>
      <c r="E223" s="89"/>
      <c r="F223" s="89"/>
      <c r="G223" s="89"/>
      <c r="H223" s="89"/>
      <c r="I223" s="89"/>
      <c r="J223" s="53">
        <v>118</v>
      </c>
      <c r="K223" s="90">
        <f t="shared" si="1"/>
        <v>3.4015566445661574E-2</v>
      </c>
      <c r="L223" s="52">
        <v>6211</v>
      </c>
      <c r="M223" s="125">
        <f t="shared" si="2"/>
        <v>4.2583679569980937E-2</v>
      </c>
      <c r="N223" s="77"/>
      <c r="O223" s="85"/>
      <c r="P223" s="5"/>
      <c r="Q223" s="104"/>
    </row>
    <row r="224" spans="1:17" ht="15.6" x14ac:dyDescent="0.3">
      <c r="A224" s="24"/>
      <c r="B224" s="53" t="s">
        <v>87</v>
      </c>
      <c r="C224" s="89"/>
      <c r="D224" s="89"/>
      <c r="E224" s="89"/>
      <c r="F224" s="89"/>
      <c r="G224" s="89"/>
      <c r="H224" s="89"/>
      <c r="I224" s="89"/>
      <c r="J224" s="53">
        <v>43</v>
      </c>
      <c r="K224" s="90">
        <f t="shared" si="1"/>
        <v>1.2395503026808878E-2</v>
      </c>
      <c r="L224" s="52">
        <v>2442</v>
      </c>
      <c r="M224" s="125">
        <f t="shared" si="2"/>
        <v>1.6742770167427701E-2</v>
      </c>
      <c r="N224" s="77"/>
      <c r="O224" s="85"/>
      <c r="P224" s="5"/>
    </row>
    <row r="225" spans="1:17" ht="15.6" x14ac:dyDescent="0.3">
      <c r="A225" s="24"/>
      <c r="B225" s="53" t="s">
        <v>145</v>
      </c>
      <c r="C225" s="89"/>
      <c r="D225" s="89"/>
      <c r="E225" s="89"/>
      <c r="F225" s="89"/>
      <c r="G225" s="89"/>
      <c r="H225" s="89"/>
      <c r="I225" s="89"/>
      <c r="J225" s="53">
        <v>34</v>
      </c>
      <c r="K225" s="90">
        <f t="shared" si="1"/>
        <v>9.8010954165465552E-3</v>
      </c>
      <c r="L225" s="52">
        <v>1556</v>
      </c>
      <c r="M225" s="125">
        <f t="shared" si="2"/>
        <v>1.0668202449024366E-2</v>
      </c>
      <c r="N225" s="77"/>
      <c r="O225" s="85"/>
      <c r="P225" s="5"/>
      <c r="Q225" s="104"/>
    </row>
    <row r="226" spans="1:17" ht="15.6" x14ac:dyDescent="0.3">
      <c r="A226" s="24"/>
      <c r="B226" s="53" t="s">
        <v>146</v>
      </c>
      <c r="C226" s="89"/>
      <c r="D226" s="89"/>
      <c r="E226" s="89"/>
      <c r="F226" s="89"/>
      <c r="G226" s="89"/>
      <c r="H226" s="89"/>
      <c r="I226" s="89"/>
      <c r="J226" s="53">
        <v>24</v>
      </c>
      <c r="K226" s="90">
        <f t="shared" si="1"/>
        <v>6.9184202940328621E-3</v>
      </c>
      <c r="L226" s="52">
        <v>1174</v>
      </c>
      <c r="M226" s="125">
        <f t="shared" si="2"/>
        <v>8.0491450354464051E-3</v>
      </c>
      <c r="N226" s="77"/>
      <c r="O226" s="85"/>
      <c r="P226" s="5"/>
    </row>
    <row r="227" spans="1:17" ht="15.6" x14ac:dyDescent="0.3">
      <c r="A227" s="24"/>
      <c r="B227" s="53" t="s">
        <v>147</v>
      </c>
      <c r="C227" s="89"/>
      <c r="D227" s="89"/>
      <c r="E227" s="89"/>
      <c r="F227" s="89"/>
      <c r="G227" s="89"/>
      <c r="H227" s="89"/>
      <c r="I227" s="89"/>
      <c r="J227" s="53">
        <v>13</v>
      </c>
      <c r="K227" s="90">
        <f t="shared" si="1"/>
        <v>3.7474776592678004E-3</v>
      </c>
      <c r="L227" s="52">
        <v>761</v>
      </c>
      <c r="M227" s="125">
        <f t="shared" si="2"/>
        <v>5.2175463134367245E-3</v>
      </c>
      <c r="N227" s="77"/>
      <c r="O227" s="85"/>
      <c r="P227" s="5"/>
      <c r="Q227" s="104"/>
    </row>
    <row r="228" spans="1:17" ht="15.6" x14ac:dyDescent="0.3">
      <c r="A228" s="24"/>
      <c r="B228" s="53" t="s">
        <v>227</v>
      </c>
      <c r="C228" s="89"/>
      <c r="D228" s="89"/>
      <c r="E228" s="89"/>
      <c r="F228" s="89"/>
      <c r="G228" s="89"/>
      <c r="H228" s="89"/>
      <c r="I228" s="89"/>
      <c r="J228" s="53">
        <v>26</v>
      </c>
      <c r="K228" s="90">
        <f t="shared" si="1"/>
        <v>7.4949553185356009E-3</v>
      </c>
      <c r="L228" s="52">
        <v>1807</v>
      </c>
      <c r="M228" s="125">
        <f t="shared" si="2"/>
        <v>1.238910143019732E-2</v>
      </c>
      <c r="N228" s="77"/>
      <c r="O228" s="85"/>
      <c r="P228" s="5"/>
    </row>
    <row r="229" spans="1:17" ht="15.6" x14ac:dyDescent="0.3">
      <c r="A229" s="24"/>
      <c r="B229" s="53" t="s">
        <v>228</v>
      </c>
      <c r="C229" s="89"/>
      <c r="D229" s="89"/>
      <c r="E229" s="89"/>
      <c r="F229" s="89"/>
      <c r="G229" s="89"/>
      <c r="H229" s="89"/>
      <c r="I229" s="89"/>
      <c r="J229" s="53">
        <v>13</v>
      </c>
      <c r="K229" s="90">
        <f t="shared" si="1"/>
        <v>3.7474776592678004E-3</v>
      </c>
      <c r="L229" s="52">
        <v>765</v>
      </c>
      <c r="M229" s="125">
        <f t="shared" si="2"/>
        <v>5.2449709983956559E-3</v>
      </c>
      <c r="N229" s="77"/>
      <c r="O229" s="85"/>
      <c r="P229" s="5"/>
      <c r="Q229" s="104"/>
    </row>
    <row r="230" spans="1:17" ht="15.6" x14ac:dyDescent="0.3">
      <c r="A230" s="24"/>
      <c r="B230" s="53" t="s">
        <v>229</v>
      </c>
      <c r="C230" s="89"/>
      <c r="D230" s="89"/>
      <c r="E230" s="89"/>
      <c r="F230" s="89"/>
      <c r="G230" s="89"/>
      <c r="H230" s="89"/>
      <c r="I230" s="89"/>
      <c r="J230" s="53">
        <v>7</v>
      </c>
      <c r="K230" s="90">
        <f t="shared" si="1"/>
        <v>2.0178725857595849E-3</v>
      </c>
      <c r="L230" s="52">
        <v>448</v>
      </c>
      <c r="M230" s="125">
        <f t="shared" si="2"/>
        <v>3.071564715400332E-3</v>
      </c>
      <c r="N230" s="77"/>
      <c r="O230" s="85"/>
      <c r="P230" s="5"/>
      <c r="Q230" s="104"/>
    </row>
    <row r="231" spans="1:17" ht="15.6" x14ac:dyDescent="0.3">
      <c r="A231" s="24"/>
      <c r="B231" s="53" t="s">
        <v>230</v>
      </c>
      <c r="C231" s="89"/>
      <c r="D231" s="89"/>
      <c r="E231" s="89"/>
      <c r="F231" s="89"/>
      <c r="G231" s="89"/>
      <c r="H231" s="89"/>
      <c r="I231" s="89"/>
      <c r="J231" s="53">
        <v>2</v>
      </c>
      <c r="K231" s="90">
        <f t="shared" si="1"/>
        <v>5.7653502450273858E-4</v>
      </c>
      <c r="L231" s="52">
        <v>175</v>
      </c>
      <c r="M231" s="125">
        <f t="shared" si="2"/>
        <v>1.1998299669532546E-3</v>
      </c>
      <c r="N231" s="77"/>
      <c r="O231" s="85"/>
      <c r="P231" s="5"/>
      <c r="Q231" s="104"/>
    </row>
    <row r="232" spans="1:17" ht="15.6" x14ac:dyDescent="0.3">
      <c r="A232" s="24"/>
      <c r="B232" s="53" t="s">
        <v>231</v>
      </c>
      <c r="C232" s="89"/>
      <c r="D232" s="89"/>
      <c r="E232" s="89"/>
      <c r="F232" s="89"/>
      <c r="G232" s="89"/>
      <c r="H232" s="89"/>
      <c r="I232" s="89"/>
      <c r="J232" s="53">
        <v>2</v>
      </c>
      <c r="K232" s="90">
        <f t="shared" si="1"/>
        <v>5.7653502450273858E-4</v>
      </c>
      <c r="L232" s="52">
        <v>1030</v>
      </c>
      <c r="M232" s="125">
        <f t="shared" si="2"/>
        <v>7.0618563769248698E-3</v>
      </c>
      <c r="N232" s="77"/>
      <c r="O232" s="85"/>
      <c r="P232" s="5"/>
      <c r="Q232" s="104"/>
    </row>
    <row r="233" spans="1:17" ht="15.6" x14ac:dyDescent="0.3">
      <c r="A233" s="24"/>
      <c r="B233" s="53" t="s">
        <v>232</v>
      </c>
      <c r="C233" s="89"/>
      <c r="D233" s="89"/>
      <c r="E233" s="89"/>
      <c r="F233" s="89"/>
      <c r="G233" s="89"/>
      <c r="H233" s="89"/>
      <c r="I233" s="89"/>
      <c r="J233" s="53">
        <v>2</v>
      </c>
      <c r="K233" s="90">
        <f t="shared" si="1"/>
        <v>5.7653502450273858E-4</v>
      </c>
      <c r="L233" s="52">
        <v>154</v>
      </c>
      <c r="M233" s="125">
        <f t="shared" si="2"/>
        <v>1.0558503709188641E-3</v>
      </c>
      <c r="N233" s="77"/>
      <c r="O233" s="85"/>
      <c r="P233" s="5"/>
      <c r="Q233" s="104"/>
    </row>
    <row r="234" spans="1:17" ht="15.6" x14ac:dyDescent="0.3">
      <c r="A234" s="24"/>
      <c r="B234" s="53" t="s">
        <v>233</v>
      </c>
      <c r="C234" s="89"/>
      <c r="D234" s="89"/>
      <c r="E234" s="89"/>
      <c r="F234" s="89"/>
      <c r="G234" s="89"/>
      <c r="H234" s="89"/>
      <c r="I234" s="89"/>
      <c r="J234" s="53">
        <v>4</v>
      </c>
      <c r="K234" s="90">
        <f t="shared" si="1"/>
        <v>1.1530700490054772E-3</v>
      </c>
      <c r="L234" s="52">
        <v>482</v>
      </c>
      <c r="M234" s="125">
        <f t="shared" si="2"/>
        <v>3.3046745375512497E-3</v>
      </c>
      <c r="N234" s="77"/>
      <c r="O234" s="85"/>
      <c r="P234" s="5"/>
      <c r="Q234" s="104"/>
    </row>
    <row r="235" spans="1:17" ht="15.6" x14ac:dyDescent="0.3">
      <c r="A235" s="24"/>
      <c r="B235" s="53"/>
      <c r="C235" s="89"/>
      <c r="D235" s="89"/>
      <c r="E235" s="89"/>
      <c r="F235" s="89"/>
      <c r="G235" s="89"/>
      <c r="H235" s="89"/>
      <c r="I235" s="89"/>
      <c r="J235" s="53"/>
      <c r="K235" s="90"/>
      <c r="L235" s="52"/>
      <c r="M235" s="125"/>
      <c r="N235" s="77"/>
      <c r="O235" s="85"/>
      <c r="P235" s="5"/>
      <c r="Q235" s="104"/>
    </row>
    <row r="236" spans="1:17" ht="15.6" x14ac:dyDescent="0.3">
      <c r="A236" s="24"/>
      <c r="B236" s="25"/>
      <c r="C236" s="25"/>
      <c r="D236" s="91"/>
      <c r="E236" s="91"/>
      <c r="F236" s="91"/>
      <c r="G236" s="91"/>
      <c r="H236" s="91"/>
      <c r="I236" s="91"/>
      <c r="J236" s="34">
        <f>SUM(J222:J235)</f>
        <v>3469</v>
      </c>
      <c r="K236" s="125">
        <f>SUM(K222:K235)</f>
        <v>0.99999999999999989</v>
      </c>
      <c r="L236" s="52">
        <f>SUM(L222:L235)</f>
        <v>145854</v>
      </c>
      <c r="M236" s="125">
        <f>SUM(M222:M235)</f>
        <v>0.99999999999999989</v>
      </c>
      <c r="N236" s="25"/>
      <c r="O236" s="25"/>
      <c r="P236" s="5"/>
    </row>
    <row r="237" spans="1:17" ht="15.6" x14ac:dyDescent="0.3">
      <c r="A237" s="24"/>
      <c r="B237" s="25"/>
      <c r="C237" s="25"/>
      <c r="D237" s="91"/>
      <c r="E237" s="91"/>
      <c r="F237" s="91"/>
      <c r="G237" s="91"/>
      <c r="H237" s="91"/>
      <c r="I237" s="91"/>
      <c r="J237" s="34"/>
      <c r="K237" s="125"/>
      <c r="L237" s="52"/>
      <c r="M237" s="125"/>
      <c r="N237" s="25"/>
      <c r="O237" s="25"/>
      <c r="P237" s="5"/>
    </row>
    <row r="238" spans="1:17" ht="15.6" x14ac:dyDescent="0.3">
      <c r="A238" s="133"/>
      <c r="B238" s="14" t="s">
        <v>204</v>
      </c>
      <c r="C238" s="79"/>
      <c r="D238" s="17"/>
      <c r="E238" s="17"/>
      <c r="F238" s="17"/>
      <c r="G238" s="17"/>
      <c r="H238" s="17"/>
      <c r="I238" s="17"/>
      <c r="J238" s="80" t="s">
        <v>99</v>
      </c>
      <c r="K238" s="17" t="s">
        <v>100</v>
      </c>
      <c r="L238" s="80" t="s">
        <v>108</v>
      </c>
      <c r="M238" s="17" t="s">
        <v>100</v>
      </c>
      <c r="N238" s="131"/>
      <c r="O238" s="132"/>
      <c r="P238" s="5"/>
    </row>
    <row r="239" spans="1:17" ht="15.6" x14ac:dyDescent="0.3">
      <c r="A239" s="24"/>
      <c r="B239" s="53" t="s">
        <v>85</v>
      </c>
      <c r="C239" s="89"/>
      <c r="D239" s="89"/>
      <c r="E239" s="89"/>
      <c r="F239" s="89"/>
      <c r="G239" s="89"/>
      <c r="H239" s="89"/>
      <c r="I239" s="89"/>
      <c r="J239" s="53">
        <v>1</v>
      </c>
      <c r="K239" s="90">
        <f t="shared" ref="K239:K251" si="3">J239/$J$253</f>
        <v>1</v>
      </c>
      <c r="L239" s="52">
        <v>110</v>
      </c>
      <c r="M239" s="90">
        <f>L239/$L$253</f>
        <v>1</v>
      </c>
      <c r="N239" s="25"/>
      <c r="O239" s="25"/>
      <c r="P239" s="5"/>
    </row>
    <row r="240" spans="1:17" ht="15.6" x14ac:dyDescent="0.3">
      <c r="A240" s="24"/>
      <c r="B240" s="53" t="s">
        <v>86</v>
      </c>
      <c r="C240" s="89"/>
      <c r="D240" s="89"/>
      <c r="E240" s="89"/>
      <c r="F240" s="89"/>
      <c r="G240" s="89"/>
      <c r="H240" s="89"/>
      <c r="I240" s="89"/>
      <c r="J240" s="53">
        <v>0</v>
      </c>
      <c r="K240" s="90">
        <f t="shared" si="3"/>
        <v>0</v>
      </c>
      <c r="L240" s="52">
        <v>0</v>
      </c>
      <c r="M240" s="90">
        <f>L240/$L$253</f>
        <v>0</v>
      </c>
      <c r="N240" s="25"/>
      <c r="O240" s="25"/>
      <c r="P240" s="5"/>
    </row>
    <row r="241" spans="1:16" ht="15.6" x14ac:dyDescent="0.3">
      <c r="A241" s="24"/>
      <c r="B241" s="53" t="s">
        <v>87</v>
      </c>
      <c r="C241" s="89"/>
      <c r="D241" s="89"/>
      <c r="E241" s="89"/>
      <c r="F241" s="89"/>
      <c r="G241" s="89"/>
      <c r="H241" s="89"/>
      <c r="I241" s="89"/>
      <c r="J241" s="53">
        <v>0</v>
      </c>
      <c r="K241" s="90">
        <f t="shared" si="3"/>
        <v>0</v>
      </c>
      <c r="L241" s="52">
        <v>0</v>
      </c>
      <c r="M241" s="90">
        <f t="shared" ref="M241:M251" si="4">L241/$L$253</f>
        <v>0</v>
      </c>
      <c r="N241" s="25"/>
      <c r="O241" s="25"/>
      <c r="P241" s="5"/>
    </row>
    <row r="242" spans="1:16" ht="15.6" x14ac:dyDescent="0.3">
      <c r="A242" s="24"/>
      <c r="B242" s="53" t="s">
        <v>145</v>
      </c>
      <c r="C242" s="89"/>
      <c r="D242" s="89"/>
      <c r="E242" s="89"/>
      <c r="F242" s="89"/>
      <c r="G242" s="89"/>
      <c r="H242" s="89"/>
      <c r="I242" s="89"/>
      <c r="J242" s="53">
        <v>0</v>
      </c>
      <c r="K242" s="90">
        <f t="shared" si="3"/>
        <v>0</v>
      </c>
      <c r="L242" s="52">
        <v>0</v>
      </c>
      <c r="M242" s="90">
        <f t="shared" si="4"/>
        <v>0</v>
      </c>
      <c r="N242" s="25"/>
      <c r="O242" s="25"/>
      <c r="P242" s="5"/>
    </row>
    <row r="243" spans="1:16" ht="15.6" x14ac:dyDescent="0.3">
      <c r="A243" s="24"/>
      <c r="B243" s="53" t="s">
        <v>146</v>
      </c>
      <c r="C243" s="89"/>
      <c r="D243" s="89"/>
      <c r="E243" s="89"/>
      <c r="F243" s="89"/>
      <c r="G243" s="89"/>
      <c r="H243" s="89"/>
      <c r="I243" s="89"/>
      <c r="J243" s="53">
        <v>0</v>
      </c>
      <c r="K243" s="90">
        <f t="shared" si="3"/>
        <v>0</v>
      </c>
      <c r="L243" s="52">
        <v>0</v>
      </c>
      <c r="M243" s="90">
        <f t="shared" si="4"/>
        <v>0</v>
      </c>
      <c r="N243" s="25"/>
      <c r="O243" s="25"/>
      <c r="P243" s="5"/>
    </row>
    <row r="244" spans="1:16" ht="15.6" x14ac:dyDescent="0.3">
      <c r="A244" s="24"/>
      <c r="B244" s="53" t="s">
        <v>147</v>
      </c>
      <c r="C244" s="89"/>
      <c r="D244" s="89"/>
      <c r="E244" s="89"/>
      <c r="F244" s="89"/>
      <c r="G244" s="89"/>
      <c r="H244" s="89"/>
      <c r="I244" s="89"/>
      <c r="J244" s="53">
        <v>0</v>
      </c>
      <c r="K244" s="90">
        <f t="shared" si="3"/>
        <v>0</v>
      </c>
      <c r="L244" s="52">
        <v>0</v>
      </c>
      <c r="M244" s="90">
        <f t="shared" si="4"/>
        <v>0</v>
      </c>
      <c r="N244" s="25"/>
      <c r="O244" s="25"/>
      <c r="P244" s="5"/>
    </row>
    <row r="245" spans="1:16" ht="15.6" x14ac:dyDescent="0.3">
      <c r="A245" s="24"/>
      <c r="B245" s="53" t="s">
        <v>227</v>
      </c>
      <c r="C245" s="89"/>
      <c r="D245" s="89"/>
      <c r="E245" s="89"/>
      <c r="F245" s="89"/>
      <c r="G245" s="89"/>
      <c r="H245" s="89"/>
      <c r="I245" s="89"/>
      <c r="J245" s="53">
        <v>0</v>
      </c>
      <c r="K245" s="90">
        <f t="shared" si="3"/>
        <v>0</v>
      </c>
      <c r="L245" s="52">
        <v>0</v>
      </c>
      <c r="M245" s="90">
        <f t="shared" si="4"/>
        <v>0</v>
      </c>
      <c r="N245" s="25"/>
      <c r="O245" s="25"/>
      <c r="P245" s="5"/>
    </row>
    <row r="246" spans="1:16" ht="15.6" x14ac:dyDescent="0.3">
      <c r="A246" s="24"/>
      <c r="B246" s="53" t="s">
        <v>228</v>
      </c>
      <c r="C246" s="89"/>
      <c r="D246" s="89"/>
      <c r="E246" s="89"/>
      <c r="F246" s="89"/>
      <c r="G246" s="89"/>
      <c r="H246" s="89"/>
      <c r="I246" s="89"/>
      <c r="J246" s="53">
        <v>0</v>
      </c>
      <c r="K246" s="90">
        <f t="shared" si="3"/>
        <v>0</v>
      </c>
      <c r="L246" s="52">
        <v>0</v>
      </c>
      <c r="M246" s="90">
        <f t="shared" si="4"/>
        <v>0</v>
      </c>
      <c r="N246" s="25"/>
      <c r="O246" s="25"/>
      <c r="P246" s="5"/>
    </row>
    <row r="247" spans="1:16" ht="15.6" x14ac:dyDescent="0.3">
      <c r="A247" s="24"/>
      <c r="B247" s="53" t="s">
        <v>229</v>
      </c>
      <c r="C247" s="89"/>
      <c r="D247" s="89"/>
      <c r="E247" s="89"/>
      <c r="F247" s="89"/>
      <c r="G247" s="89"/>
      <c r="H247" s="89"/>
      <c r="I247" s="89"/>
      <c r="J247" s="53">
        <v>0</v>
      </c>
      <c r="K247" s="90">
        <f t="shared" si="3"/>
        <v>0</v>
      </c>
      <c r="L247" s="52">
        <v>0</v>
      </c>
      <c r="M247" s="90">
        <f t="shared" si="4"/>
        <v>0</v>
      </c>
      <c r="N247" s="25"/>
      <c r="O247" s="25"/>
      <c r="P247" s="5"/>
    </row>
    <row r="248" spans="1:16" ht="15.6" x14ac:dyDescent="0.3">
      <c r="A248" s="24"/>
      <c r="B248" s="53" t="s">
        <v>230</v>
      </c>
      <c r="C248" s="89"/>
      <c r="D248" s="89"/>
      <c r="E248" s="89"/>
      <c r="F248" s="89"/>
      <c r="G248" s="89"/>
      <c r="H248" s="89"/>
      <c r="I248" s="89"/>
      <c r="J248" s="53">
        <v>0</v>
      </c>
      <c r="K248" s="90">
        <f t="shared" si="3"/>
        <v>0</v>
      </c>
      <c r="L248" s="52">
        <v>0</v>
      </c>
      <c r="M248" s="90">
        <f t="shared" si="4"/>
        <v>0</v>
      </c>
      <c r="N248" s="25"/>
      <c r="O248" s="25"/>
      <c r="P248" s="5"/>
    </row>
    <row r="249" spans="1:16" ht="15.6" x14ac:dyDescent="0.3">
      <c r="A249" s="24"/>
      <c r="B249" s="53" t="s">
        <v>231</v>
      </c>
      <c r="C249" s="89"/>
      <c r="D249" s="89"/>
      <c r="E249" s="89"/>
      <c r="F249" s="89"/>
      <c r="G249" s="89"/>
      <c r="H249" s="89"/>
      <c r="I249" s="89"/>
      <c r="J249" s="53">
        <v>0</v>
      </c>
      <c r="K249" s="90">
        <f t="shared" si="3"/>
        <v>0</v>
      </c>
      <c r="L249" s="52">
        <v>0</v>
      </c>
      <c r="M249" s="90">
        <f t="shared" si="4"/>
        <v>0</v>
      </c>
      <c r="N249" s="25"/>
      <c r="O249" s="25"/>
      <c r="P249" s="5"/>
    </row>
    <row r="250" spans="1:16" ht="15.6" x14ac:dyDescent="0.3">
      <c r="A250" s="24"/>
      <c r="B250" s="53" t="s">
        <v>232</v>
      </c>
      <c r="C250" s="89"/>
      <c r="D250" s="89"/>
      <c r="E250" s="89"/>
      <c r="F250" s="89"/>
      <c r="G250" s="89"/>
      <c r="H250" s="89"/>
      <c r="I250" s="89"/>
      <c r="J250" s="53">
        <v>0</v>
      </c>
      <c r="K250" s="90">
        <f t="shared" si="3"/>
        <v>0</v>
      </c>
      <c r="L250" s="52">
        <v>0</v>
      </c>
      <c r="M250" s="90">
        <f t="shared" si="4"/>
        <v>0</v>
      </c>
      <c r="N250" s="25"/>
      <c r="O250" s="25"/>
      <c r="P250" s="5"/>
    </row>
    <row r="251" spans="1:16" ht="15.6" x14ac:dyDescent="0.3">
      <c r="A251" s="24"/>
      <c r="B251" s="53" t="s">
        <v>233</v>
      </c>
      <c r="C251" s="89"/>
      <c r="D251" s="89"/>
      <c r="E251" s="89"/>
      <c r="F251" s="89"/>
      <c r="G251" s="89"/>
      <c r="H251" s="89"/>
      <c r="I251" s="89"/>
      <c r="J251" s="53">
        <v>0</v>
      </c>
      <c r="K251" s="90">
        <f t="shared" si="3"/>
        <v>0</v>
      </c>
      <c r="L251" s="52">
        <v>0</v>
      </c>
      <c r="M251" s="90">
        <f t="shared" si="4"/>
        <v>0</v>
      </c>
      <c r="N251" s="25"/>
      <c r="O251" s="25"/>
      <c r="P251" s="5"/>
    </row>
    <row r="252" spans="1:16" ht="15.6" x14ac:dyDescent="0.3">
      <c r="A252" s="24"/>
      <c r="B252" s="53"/>
      <c r="C252" s="89"/>
      <c r="D252" s="89"/>
      <c r="E252" s="89"/>
      <c r="F252" s="89"/>
      <c r="G252" s="89"/>
      <c r="H252" s="89"/>
      <c r="I252" s="89"/>
      <c r="J252" s="53"/>
      <c r="K252" s="90"/>
      <c r="L252" s="52"/>
      <c r="M252" s="125"/>
      <c r="N252" s="25"/>
      <c r="O252" s="25"/>
      <c r="P252" s="5"/>
    </row>
    <row r="253" spans="1:16" ht="15.6" x14ac:dyDescent="0.3">
      <c r="A253" s="24"/>
      <c r="B253" s="25"/>
      <c r="C253" s="25"/>
      <c r="D253" s="91"/>
      <c r="E253" s="91"/>
      <c r="F253" s="91"/>
      <c r="G253" s="91"/>
      <c r="H253" s="91"/>
      <c r="I253" s="91"/>
      <c r="J253" s="34">
        <f>SUM(J239:J252)</f>
        <v>1</v>
      </c>
      <c r="K253" s="125">
        <f>SUM(K239:K252)</f>
        <v>1</v>
      </c>
      <c r="L253" s="52">
        <f>SUM(L239:L252)</f>
        <v>110</v>
      </c>
      <c r="M253" s="125">
        <f>SUM(M239:M252)</f>
        <v>1</v>
      </c>
      <c r="N253" s="25"/>
      <c r="O253" s="25"/>
      <c r="P253" s="5"/>
    </row>
    <row r="254" spans="1:16" ht="15.6" x14ac:dyDescent="0.3">
      <c r="A254" s="24"/>
      <c r="B254" s="25"/>
      <c r="C254" s="25"/>
      <c r="D254" s="91"/>
      <c r="E254" s="91"/>
      <c r="F254" s="91"/>
      <c r="G254" s="91"/>
      <c r="H254" s="91"/>
      <c r="I254" s="91"/>
      <c r="J254" s="34"/>
      <c r="K254" s="125"/>
      <c r="L254" s="52"/>
      <c r="M254" s="125"/>
      <c r="N254" s="25"/>
      <c r="O254" s="25"/>
      <c r="P254" s="5"/>
    </row>
    <row r="255" spans="1:16" ht="15.6" x14ac:dyDescent="0.3">
      <c r="A255" s="133"/>
      <c r="B255" s="14" t="s">
        <v>150</v>
      </c>
      <c r="C255" s="131"/>
      <c r="D255" s="137"/>
      <c r="E255" s="137"/>
      <c r="F255" s="137"/>
      <c r="G255" s="137"/>
      <c r="H255" s="137"/>
      <c r="I255" s="137"/>
      <c r="J255" s="80" t="s">
        <v>99</v>
      </c>
      <c r="K255" s="17" t="s">
        <v>100</v>
      </c>
      <c r="L255" s="80" t="s">
        <v>108</v>
      </c>
      <c r="M255" s="17" t="s">
        <v>100</v>
      </c>
      <c r="N255" s="131"/>
      <c r="O255" s="132"/>
      <c r="P255" s="5"/>
    </row>
    <row r="256" spans="1:16" ht="15.6" x14ac:dyDescent="0.3">
      <c r="A256" s="24"/>
      <c r="B256" s="53" t="s">
        <v>85</v>
      </c>
      <c r="C256" s="25"/>
      <c r="D256" s="91"/>
      <c r="E256" s="91"/>
      <c r="F256" s="91"/>
      <c r="G256" s="91"/>
      <c r="H256" s="91"/>
      <c r="I256" s="91"/>
      <c r="J256" s="53">
        <v>0</v>
      </c>
      <c r="K256" s="90">
        <f>J256/$J$270</f>
        <v>0</v>
      </c>
      <c r="L256" s="52">
        <v>0</v>
      </c>
      <c r="M256" s="125">
        <f>L256/$L$270</f>
        <v>0</v>
      </c>
      <c r="N256" s="25"/>
      <c r="O256" s="25"/>
      <c r="P256" s="5"/>
    </row>
    <row r="257" spans="1:16" ht="15.6" x14ac:dyDescent="0.3">
      <c r="A257" s="24"/>
      <c r="B257" s="53" t="s">
        <v>86</v>
      </c>
      <c r="C257" s="25"/>
      <c r="D257" s="91"/>
      <c r="E257" s="91"/>
      <c r="F257" s="91"/>
      <c r="G257" s="91"/>
      <c r="H257" s="91"/>
      <c r="I257" s="91"/>
      <c r="J257" s="53">
        <v>0</v>
      </c>
      <c r="K257" s="90">
        <f t="shared" ref="K257:K268" si="5">J257/$J$270</f>
        <v>0</v>
      </c>
      <c r="L257" s="52">
        <v>0</v>
      </c>
      <c r="M257" s="125">
        <f t="shared" ref="M257:M268" si="6">L257/$L$270</f>
        <v>0</v>
      </c>
      <c r="N257" s="25"/>
      <c r="O257" s="25"/>
      <c r="P257" s="5"/>
    </row>
    <row r="258" spans="1:16" ht="15.6" x14ac:dyDescent="0.3">
      <c r="A258" s="24"/>
      <c r="B258" s="53" t="s">
        <v>87</v>
      </c>
      <c r="C258" s="25"/>
      <c r="D258" s="91"/>
      <c r="E258" s="91"/>
      <c r="F258" s="91"/>
      <c r="G258" s="91"/>
      <c r="H258" s="91"/>
      <c r="I258" s="91"/>
      <c r="J258" s="53">
        <v>0</v>
      </c>
      <c r="K258" s="90">
        <f t="shared" si="5"/>
        <v>0</v>
      </c>
      <c r="L258" s="52">
        <v>0</v>
      </c>
      <c r="M258" s="125">
        <f t="shared" si="6"/>
        <v>0</v>
      </c>
      <c r="N258" s="25"/>
      <c r="O258" s="25"/>
      <c r="P258" s="5"/>
    </row>
    <row r="259" spans="1:16" ht="15.6" x14ac:dyDescent="0.3">
      <c r="A259" s="24"/>
      <c r="B259" s="53" t="s">
        <v>145</v>
      </c>
      <c r="C259" s="25"/>
      <c r="D259" s="91"/>
      <c r="E259" s="91"/>
      <c r="F259" s="91"/>
      <c r="G259" s="91"/>
      <c r="H259" s="91"/>
      <c r="I259" s="91"/>
      <c r="J259" s="53">
        <v>0</v>
      </c>
      <c r="K259" s="90">
        <f t="shared" si="5"/>
        <v>0</v>
      </c>
      <c r="L259" s="52">
        <v>0</v>
      </c>
      <c r="M259" s="125">
        <f t="shared" si="6"/>
        <v>0</v>
      </c>
      <c r="N259" s="25"/>
      <c r="O259" s="25"/>
      <c r="P259" s="5"/>
    </row>
    <row r="260" spans="1:16" ht="15.6" x14ac:dyDescent="0.3">
      <c r="A260" s="24"/>
      <c r="B260" s="53" t="s">
        <v>146</v>
      </c>
      <c r="C260" s="25"/>
      <c r="D260" s="91"/>
      <c r="E260" s="91"/>
      <c r="F260" s="91"/>
      <c r="G260" s="91"/>
      <c r="H260" s="91"/>
      <c r="I260" s="91"/>
      <c r="J260" s="53">
        <v>0</v>
      </c>
      <c r="K260" s="90">
        <f t="shared" si="5"/>
        <v>0</v>
      </c>
      <c r="L260" s="52">
        <v>0</v>
      </c>
      <c r="M260" s="125">
        <f t="shared" si="6"/>
        <v>0</v>
      </c>
      <c r="N260" s="25"/>
      <c r="O260" s="25"/>
      <c r="P260" s="5"/>
    </row>
    <row r="261" spans="1:16" ht="15.6" x14ac:dyDescent="0.3">
      <c r="A261" s="24"/>
      <c r="B261" s="53" t="s">
        <v>147</v>
      </c>
      <c r="C261" s="25"/>
      <c r="D261" s="91"/>
      <c r="E261" s="91"/>
      <c r="F261" s="91"/>
      <c r="G261" s="91"/>
      <c r="H261" s="91"/>
      <c r="I261" s="91"/>
      <c r="J261" s="53">
        <v>0</v>
      </c>
      <c r="K261" s="90">
        <f t="shared" si="5"/>
        <v>0</v>
      </c>
      <c r="L261" s="52">
        <v>0</v>
      </c>
      <c r="M261" s="125">
        <f t="shared" si="6"/>
        <v>0</v>
      </c>
      <c r="N261" s="25"/>
      <c r="O261" s="25"/>
      <c r="P261" s="5"/>
    </row>
    <row r="262" spans="1:16" ht="15.6" x14ac:dyDescent="0.3">
      <c r="A262" s="24"/>
      <c r="B262" s="53" t="s">
        <v>227</v>
      </c>
      <c r="C262" s="25"/>
      <c r="D262" s="91"/>
      <c r="E262" s="91"/>
      <c r="F262" s="91"/>
      <c r="G262" s="91"/>
      <c r="H262" s="91"/>
      <c r="I262" s="91"/>
      <c r="J262" s="53">
        <v>1</v>
      </c>
      <c r="K262" s="90">
        <f t="shared" si="5"/>
        <v>0.5</v>
      </c>
      <c r="L262" s="52">
        <v>38</v>
      </c>
      <c r="M262" s="125">
        <f t="shared" si="6"/>
        <v>0.2620689655172414</v>
      </c>
      <c r="N262" s="25"/>
      <c r="O262" s="25"/>
      <c r="P262" s="5"/>
    </row>
    <row r="263" spans="1:16" ht="15.6" x14ac:dyDescent="0.3">
      <c r="A263" s="24"/>
      <c r="B263" s="53" t="s">
        <v>228</v>
      </c>
      <c r="C263" s="25"/>
      <c r="D263" s="91"/>
      <c r="E263" s="91"/>
      <c r="F263" s="91"/>
      <c r="G263" s="91"/>
      <c r="H263" s="91"/>
      <c r="I263" s="91"/>
      <c r="J263" s="53">
        <v>0</v>
      </c>
      <c r="K263" s="90">
        <f t="shared" si="5"/>
        <v>0</v>
      </c>
      <c r="L263" s="52">
        <v>0</v>
      </c>
      <c r="M263" s="125">
        <f t="shared" si="6"/>
        <v>0</v>
      </c>
      <c r="N263" s="25"/>
      <c r="O263" s="25"/>
      <c r="P263" s="5"/>
    </row>
    <row r="264" spans="1:16" ht="15.6" x14ac:dyDescent="0.3">
      <c r="A264" s="24"/>
      <c r="B264" s="53" t="s">
        <v>229</v>
      </c>
      <c r="C264" s="25"/>
      <c r="D264" s="91"/>
      <c r="E264" s="91"/>
      <c r="F264" s="91"/>
      <c r="G264" s="91"/>
      <c r="H264" s="91"/>
      <c r="I264" s="91"/>
      <c r="J264" s="53">
        <v>1</v>
      </c>
      <c r="K264" s="90">
        <f t="shared" si="5"/>
        <v>0.5</v>
      </c>
      <c r="L264" s="52">
        <v>107</v>
      </c>
      <c r="M264" s="125">
        <f t="shared" si="6"/>
        <v>0.73793103448275865</v>
      </c>
      <c r="N264" s="25"/>
      <c r="O264" s="25"/>
      <c r="P264" s="5"/>
    </row>
    <row r="265" spans="1:16" ht="15.6" x14ac:dyDescent="0.3">
      <c r="A265" s="24"/>
      <c r="B265" s="53" t="s">
        <v>230</v>
      </c>
      <c r="C265" s="25"/>
      <c r="D265" s="91"/>
      <c r="E265" s="91"/>
      <c r="F265" s="91"/>
      <c r="G265" s="91"/>
      <c r="H265" s="91"/>
      <c r="I265" s="91"/>
      <c r="J265" s="53">
        <v>0</v>
      </c>
      <c r="K265" s="90">
        <f t="shared" si="5"/>
        <v>0</v>
      </c>
      <c r="L265" s="52">
        <v>0</v>
      </c>
      <c r="M265" s="125">
        <f t="shared" si="6"/>
        <v>0</v>
      </c>
      <c r="N265" s="25"/>
      <c r="O265" s="25"/>
      <c r="P265" s="5"/>
    </row>
    <row r="266" spans="1:16" ht="15.6" x14ac:dyDescent="0.3">
      <c r="A266" s="24"/>
      <c r="B266" s="53" t="s">
        <v>231</v>
      </c>
      <c r="C266" s="25"/>
      <c r="D266" s="91"/>
      <c r="E266" s="91"/>
      <c r="F266" s="91"/>
      <c r="G266" s="91"/>
      <c r="H266" s="91"/>
      <c r="I266" s="91"/>
      <c r="J266" s="53">
        <v>0</v>
      </c>
      <c r="K266" s="90">
        <f t="shared" si="5"/>
        <v>0</v>
      </c>
      <c r="L266" s="52">
        <v>0</v>
      </c>
      <c r="M266" s="125">
        <f t="shared" si="6"/>
        <v>0</v>
      </c>
      <c r="N266" s="25"/>
      <c r="O266" s="25"/>
      <c r="P266" s="5"/>
    </row>
    <row r="267" spans="1:16" ht="15.6" x14ac:dyDescent="0.3">
      <c r="A267" s="24"/>
      <c r="B267" s="53" t="s">
        <v>232</v>
      </c>
      <c r="C267" s="25"/>
      <c r="D267" s="91"/>
      <c r="E267" s="91"/>
      <c r="F267" s="91"/>
      <c r="G267" s="91"/>
      <c r="H267" s="91"/>
      <c r="I267" s="91"/>
      <c r="J267" s="53">
        <v>0</v>
      </c>
      <c r="K267" s="90">
        <f t="shared" si="5"/>
        <v>0</v>
      </c>
      <c r="L267" s="52">
        <v>0</v>
      </c>
      <c r="M267" s="125">
        <f t="shared" si="6"/>
        <v>0</v>
      </c>
      <c r="N267" s="25"/>
      <c r="O267" s="25"/>
      <c r="P267" s="5"/>
    </row>
    <row r="268" spans="1:16" ht="15.6" x14ac:dyDescent="0.3">
      <c r="A268" s="24"/>
      <c r="B268" s="53" t="s">
        <v>233</v>
      </c>
      <c r="C268" s="25"/>
      <c r="D268" s="91"/>
      <c r="E268" s="91"/>
      <c r="F268" s="91"/>
      <c r="G268" s="91"/>
      <c r="H268" s="91"/>
      <c r="I268" s="91"/>
      <c r="J268" s="53">
        <v>0</v>
      </c>
      <c r="K268" s="90">
        <f t="shared" si="5"/>
        <v>0</v>
      </c>
      <c r="L268" s="52">
        <v>0</v>
      </c>
      <c r="M268" s="125">
        <f t="shared" si="6"/>
        <v>0</v>
      </c>
      <c r="N268" s="25"/>
      <c r="O268" s="25"/>
      <c r="P268" s="5"/>
    </row>
    <row r="269" spans="1:16" ht="15.6" x14ac:dyDescent="0.3">
      <c r="A269" s="24"/>
      <c r="B269" s="53"/>
      <c r="C269" s="25"/>
      <c r="D269" s="91"/>
      <c r="E269" s="91"/>
      <c r="F269" s="91"/>
      <c r="G269" s="91"/>
      <c r="H269" s="91"/>
      <c r="I269" s="91"/>
      <c r="J269" s="53"/>
      <c r="K269" s="90"/>
      <c r="L269" s="52"/>
      <c r="M269" s="125"/>
      <c r="N269" s="25"/>
      <c r="O269" s="25"/>
      <c r="P269" s="5"/>
    </row>
    <row r="270" spans="1:16" ht="15.6" x14ac:dyDescent="0.3">
      <c r="A270" s="24"/>
      <c r="B270" s="25" t="s">
        <v>114</v>
      </c>
      <c r="C270" s="25"/>
      <c r="D270" s="91"/>
      <c r="E270" s="91"/>
      <c r="F270" s="91"/>
      <c r="G270" s="91"/>
      <c r="H270" s="91"/>
      <c r="I270" s="91"/>
      <c r="J270" s="34">
        <f>SUM(J256:J268)</f>
        <v>2</v>
      </c>
      <c r="K270" s="90">
        <f>SUM(K256:K268)</f>
        <v>1</v>
      </c>
      <c r="L270" s="52">
        <f>SUM(L256:L268)</f>
        <v>145</v>
      </c>
      <c r="M270" s="125">
        <f>SUM(M256:M268)</f>
        <v>1</v>
      </c>
      <c r="N270" s="25"/>
      <c r="O270" s="25"/>
      <c r="P270" s="5"/>
    </row>
    <row r="271" spans="1:16" ht="15.6" x14ac:dyDescent="0.3">
      <c r="A271" s="24"/>
      <c r="B271" s="25"/>
      <c r="C271" s="25"/>
      <c r="D271" s="91"/>
      <c r="E271" s="91"/>
      <c r="F271" s="91"/>
      <c r="G271" s="91"/>
      <c r="H271" s="91"/>
      <c r="I271" s="91"/>
      <c r="J271" s="34"/>
      <c r="K271" s="125"/>
      <c r="L271" s="52"/>
      <c r="M271" s="125"/>
      <c r="N271" s="25"/>
      <c r="O271" s="25"/>
      <c r="P271" s="5"/>
    </row>
    <row r="272" spans="1:16" ht="15.6" x14ac:dyDescent="0.3">
      <c r="A272" s="24"/>
      <c r="B272" s="134" t="s">
        <v>151</v>
      </c>
      <c r="C272" s="25"/>
      <c r="D272" s="91"/>
      <c r="E272" s="91"/>
      <c r="F272" s="91"/>
      <c r="G272" s="91"/>
      <c r="H272" s="91"/>
      <c r="I272" s="91"/>
      <c r="J272" s="149">
        <f>J270+J253+J236</f>
        <v>3472</v>
      </c>
      <c r="K272" s="135"/>
      <c r="L272" s="136">
        <f>+L270+L253+L236</f>
        <v>146109</v>
      </c>
      <c r="M272" s="135"/>
      <c r="N272" s="25"/>
      <c r="O272" s="25"/>
      <c r="P272" s="5"/>
    </row>
    <row r="273" spans="1:16" ht="15.6" x14ac:dyDescent="0.3">
      <c r="A273" s="24"/>
      <c r="B273" s="25"/>
      <c r="C273" s="25"/>
      <c r="D273" s="91"/>
      <c r="E273" s="91"/>
      <c r="F273" s="91"/>
      <c r="G273" s="91"/>
      <c r="H273" s="91"/>
      <c r="I273" s="91"/>
      <c r="J273" s="91"/>
      <c r="K273" s="91"/>
      <c r="L273" s="52"/>
      <c r="M273" s="91"/>
      <c r="N273" s="25"/>
      <c r="O273" s="25"/>
      <c r="P273" s="5"/>
    </row>
    <row r="274" spans="1:16" ht="15.6" x14ac:dyDescent="0.3">
      <c r="A274" s="6"/>
      <c r="B274" s="8"/>
      <c r="C274" s="8"/>
      <c r="D274" s="92"/>
      <c r="E274" s="92"/>
      <c r="F274" s="92"/>
      <c r="G274" s="92"/>
      <c r="H274" s="92"/>
      <c r="I274" s="92"/>
      <c r="J274" s="92"/>
      <c r="K274" s="92"/>
      <c r="L274" s="93"/>
      <c r="M274" s="92"/>
      <c r="N274" s="8"/>
      <c r="O274" s="8"/>
      <c r="P274" s="5"/>
    </row>
    <row r="275" spans="1:16" ht="15.6" x14ac:dyDescent="0.3">
      <c r="A275" s="179"/>
      <c r="B275" s="14" t="s">
        <v>88</v>
      </c>
      <c r="C275" s="15"/>
      <c r="D275" s="17" t="s">
        <v>94</v>
      </c>
      <c r="E275" s="15"/>
      <c r="F275" s="14" t="s">
        <v>96</v>
      </c>
      <c r="G275" s="174"/>
      <c r="H275" s="174"/>
      <c r="I275" s="174"/>
      <c r="J275" s="17"/>
      <c r="K275" s="15"/>
      <c r="L275" s="14"/>
      <c r="M275" s="174"/>
      <c r="N275" s="174"/>
      <c r="O275" s="174"/>
      <c r="P275" s="5"/>
    </row>
    <row r="276" spans="1:16" ht="15.6" x14ac:dyDescent="0.3">
      <c r="A276" s="179"/>
      <c r="B276" s="174"/>
      <c r="C276" s="8"/>
      <c r="D276" s="8"/>
      <c r="E276" s="8"/>
      <c r="F276" s="8"/>
      <c r="G276" s="174"/>
      <c r="H276" s="174"/>
      <c r="I276" s="174"/>
      <c r="J276" s="8"/>
      <c r="K276" s="8"/>
      <c r="L276" s="8"/>
      <c r="M276" s="174"/>
      <c r="N276" s="174"/>
      <c r="O276" s="174"/>
      <c r="P276" s="5"/>
    </row>
    <row r="277" spans="1:16" ht="15.6" x14ac:dyDescent="0.3">
      <c r="A277" s="179"/>
      <c r="B277" s="13" t="s">
        <v>89</v>
      </c>
      <c r="C277" s="13"/>
      <c r="D277" s="123" t="s">
        <v>138</v>
      </c>
      <c r="E277" s="13"/>
      <c r="F277" s="13" t="s">
        <v>141</v>
      </c>
      <c r="G277" s="174"/>
      <c r="H277" s="174"/>
      <c r="I277" s="174"/>
      <c r="J277" s="123"/>
      <c r="K277" s="13"/>
      <c r="L277" s="13"/>
      <c r="M277" s="174"/>
      <c r="N277" s="174"/>
      <c r="O277" s="174"/>
      <c r="P277" s="5"/>
    </row>
    <row r="278" spans="1:16" ht="15.6" x14ac:dyDescent="0.3">
      <c r="A278" s="13"/>
      <c r="B278" s="13" t="s">
        <v>239</v>
      </c>
      <c r="C278" s="13"/>
      <c r="D278" s="123" t="s">
        <v>240</v>
      </c>
      <c r="E278" s="123"/>
      <c r="F278" s="13" t="s">
        <v>241</v>
      </c>
      <c r="G278" s="13"/>
      <c r="H278" s="174"/>
      <c r="I278" s="174"/>
      <c r="J278" s="123"/>
      <c r="K278" s="13"/>
      <c r="L278" s="13"/>
      <c r="M278" s="174"/>
      <c r="N278" s="174"/>
      <c r="O278" s="174"/>
      <c r="P278" s="5"/>
    </row>
    <row r="279" spans="1:16" ht="15.6" x14ac:dyDescent="0.3">
      <c r="A279" s="179"/>
      <c r="B279" s="13" t="s">
        <v>90</v>
      </c>
      <c r="C279" s="13"/>
      <c r="D279" s="123" t="s">
        <v>137</v>
      </c>
      <c r="E279" s="13"/>
      <c r="F279" s="13" t="s">
        <v>142</v>
      </c>
      <c r="G279" s="174"/>
      <c r="H279" s="174"/>
      <c r="I279" s="174"/>
      <c r="J279" s="123"/>
      <c r="K279" s="13"/>
      <c r="L279" s="13"/>
      <c r="M279" s="174"/>
      <c r="N279" s="174"/>
      <c r="O279" s="174"/>
      <c r="P279" s="5"/>
    </row>
    <row r="280" spans="1:16" ht="15.6" x14ac:dyDescent="0.3">
      <c r="A280" s="179"/>
      <c r="B280" s="13"/>
      <c r="C280" s="13"/>
      <c r="D280" s="174"/>
      <c r="E280" s="174"/>
      <c r="F280" s="174"/>
      <c r="G280" s="174"/>
      <c r="H280" s="174"/>
      <c r="I280" s="174"/>
      <c r="J280" s="174"/>
      <c r="K280" s="174"/>
      <c r="L280" s="174"/>
      <c r="M280" s="174"/>
      <c r="N280" s="174"/>
      <c r="O280" s="174"/>
      <c r="P280" s="5"/>
    </row>
    <row r="281" spans="1:16" ht="15.6" x14ac:dyDescent="0.3">
      <c r="A281" s="179"/>
      <c r="B281" s="13"/>
      <c r="C281" s="13"/>
      <c r="D281" s="174"/>
      <c r="E281" s="174"/>
      <c r="F281" s="174"/>
      <c r="G281" s="174"/>
      <c r="H281" s="174"/>
      <c r="I281" s="174"/>
      <c r="J281" s="174"/>
      <c r="K281" s="174"/>
      <c r="L281" s="174"/>
      <c r="M281" s="174"/>
      <c r="N281" s="174"/>
      <c r="O281" s="174"/>
      <c r="P281" s="5"/>
    </row>
    <row r="282" spans="1:16" ht="18" thickBot="1" x14ac:dyDescent="0.35">
      <c r="A282" s="179"/>
      <c r="B282" s="48" t="str">
        <f>B183</f>
        <v>FF7 INVESTOR REPORT QUARTER ENDING FEBRUARY 2009</v>
      </c>
      <c r="C282" s="13"/>
      <c r="D282" s="174"/>
      <c r="E282" s="174"/>
      <c r="F282" s="174"/>
      <c r="G282" s="174"/>
      <c r="H282" s="174"/>
      <c r="I282" s="174"/>
      <c r="J282" s="174"/>
      <c r="K282" s="174"/>
      <c r="L282" s="174"/>
      <c r="M282" s="174"/>
      <c r="N282" s="174"/>
      <c r="O282" s="174"/>
      <c r="P282" s="5"/>
    </row>
    <row r="283" spans="1:16" x14ac:dyDescent="0.25">
      <c r="A283" s="95"/>
      <c r="B283" s="95"/>
      <c r="C283" s="95"/>
      <c r="D283" s="95"/>
      <c r="E283" s="95"/>
      <c r="F283" s="95"/>
      <c r="G283" s="95"/>
      <c r="H283" s="95"/>
      <c r="I283" s="95"/>
      <c r="J283" s="95"/>
      <c r="K283" s="95"/>
      <c r="L283" s="95"/>
      <c r="M283" s="95"/>
      <c r="N283" s="95"/>
      <c r="O283"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3" manualBreakCount="3">
    <brk id="52" max="14" man="1"/>
    <brk id="116" max="14" man="1"/>
    <brk id="183"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A1:IV283"/>
  <sheetViews>
    <sheetView showGridLines="0" showOutlineSymbols="0" zoomScale="70" zoomScaleNormal="70" workbookViewId="0">
      <selection activeCell="B303" sqref="B303"/>
    </sheetView>
  </sheetViews>
  <sheetFormatPr defaultColWidth="9.6328125" defaultRowHeight="15" x14ac:dyDescent="0.25"/>
  <cols>
    <col min="1" max="1" width="4" style="1" customWidth="1"/>
    <col min="2" max="2" width="75.1796875" style="1" customWidth="1"/>
    <col min="3" max="3" width="2.1796875" style="1" customWidth="1"/>
    <col min="4" max="4" width="17.90625" style="1" customWidth="1"/>
    <col min="5" max="5" width="2.36328125" style="1" customWidth="1"/>
    <col min="6" max="6" width="13.08984375" style="1" customWidth="1"/>
    <col min="7" max="7" width="2.36328125" style="1" customWidth="1"/>
    <col min="8" max="8" width="15.54296875" style="1" customWidth="1"/>
    <col min="9" max="9" width="2.1796875" style="1" customWidth="1"/>
    <col min="10" max="10" width="15.54296875" style="1" customWidth="1"/>
    <col min="11" max="12" width="12.6328125" style="1" customWidth="1"/>
    <col min="13" max="13" width="7.81640625" style="1" customWidth="1"/>
    <col min="14" max="14" width="14.6328125" style="1" customWidth="1"/>
    <col min="15" max="15" width="11.81640625" style="1" customWidth="1"/>
    <col min="16" max="16384" width="9.6328125" style="1"/>
  </cols>
  <sheetData>
    <row r="1" spans="1:16" ht="20.399999999999999" x14ac:dyDescent="0.35">
      <c r="A1" s="2"/>
      <c r="B1" s="3" t="s">
        <v>184</v>
      </c>
      <c r="C1" s="4"/>
      <c r="D1" s="4"/>
      <c r="E1" s="4"/>
      <c r="F1" s="4"/>
      <c r="G1" s="4"/>
      <c r="H1" s="4"/>
      <c r="I1" s="4"/>
      <c r="J1" s="4"/>
      <c r="K1" s="4"/>
      <c r="L1" s="4"/>
      <c r="M1" s="4"/>
      <c r="N1" s="4"/>
      <c r="O1" s="4"/>
      <c r="P1" s="5"/>
    </row>
    <row r="2" spans="1:16" ht="15.6" x14ac:dyDescent="0.3">
      <c r="A2" s="6"/>
      <c r="B2" s="7"/>
      <c r="C2" s="8"/>
      <c r="D2" s="8"/>
      <c r="E2" s="8"/>
      <c r="F2" s="8"/>
      <c r="G2" s="8"/>
      <c r="H2" s="8"/>
      <c r="I2" s="8"/>
      <c r="J2" s="8"/>
      <c r="K2" s="8"/>
      <c r="L2" s="8"/>
      <c r="M2" s="8"/>
      <c r="N2" s="8"/>
      <c r="O2" s="8"/>
      <c r="P2" s="5"/>
    </row>
    <row r="3" spans="1:16" ht="15.6" x14ac:dyDescent="0.3">
      <c r="A3" s="9"/>
      <c r="B3" s="106" t="s">
        <v>185</v>
      </c>
      <c r="C3" s="8"/>
      <c r="D3" s="8"/>
      <c r="E3" s="8"/>
      <c r="F3" s="8"/>
      <c r="G3" s="8"/>
      <c r="H3" s="8"/>
      <c r="I3" s="8"/>
      <c r="J3" s="8"/>
      <c r="K3" s="8"/>
      <c r="L3" s="8"/>
      <c r="M3" s="8"/>
      <c r="N3" s="8"/>
      <c r="O3" s="8"/>
      <c r="P3" s="5"/>
    </row>
    <row r="4" spans="1:16" ht="15.6" x14ac:dyDescent="0.3">
      <c r="A4" s="6"/>
      <c r="B4" s="7"/>
      <c r="C4" s="8"/>
      <c r="D4" s="8"/>
      <c r="E4" s="8"/>
      <c r="F4" s="8"/>
      <c r="G4" s="8"/>
      <c r="H4" s="8"/>
      <c r="I4" s="8"/>
      <c r="J4" s="8"/>
      <c r="K4" s="8"/>
      <c r="L4" s="8"/>
      <c r="M4" s="8"/>
      <c r="N4" s="8"/>
      <c r="O4" s="8"/>
      <c r="P4" s="5"/>
    </row>
    <row r="5" spans="1:16" ht="15.6" x14ac:dyDescent="0.3">
      <c r="A5" s="6"/>
      <c r="B5" s="11" t="s">
        <v>243</v>
      </c>
      <c r="C5" s="8"/>
      <c r="D5" s="8"/>
      <c r="E5" s="8"/>
      <c r="F5" s="8"/>
      <c r="G5" s="8"/>
      <c r="H5" s="8"/>
      <c r="I5" s="8"/>
      <c r="J5" s="8"/>
      <c r="K5" s="8"/>
      <c r="L5" s="8"/>
      <c r="M5" s="8"/>
      <c r="N5" s="8"/>
      <c r="O5" s="8"/>
      <c r="P5" s="5"/>
    </row>
    <row r="6" spans="1:16" ht="15.6" x14ac:dyDescent="0.3">
      <c r="A6" s="6"/>
      <c r="B6" s="11" t="s">
        <v>187</v>
      </c>
      <c r="C6" s="8"/>
      <c r="D6" s="8"/>
      <c r="E6" s="8"/>
      <c r="F6" s="8"/>
      <c r="G6" s="8"/>
      <c r="H6" s="8"/>
      <c r="I6" s="8"/>
      <c r="J6" s="8"/>
      <c r="K6" s="8"/>
      <c r="L6" s="8"/>
      <c r="M6" s="8"/>
      <c r="N6" s="8"/>
      <c r="O6" s="8"/>
      <c r="P6" s="5"/>
    </row>
    <row r="7" spans="1:16" ht="15.6" x14ac:dyDescent="0.3">
      <c r="A7" s="6"/>
      <c r="B7" s="11" t="s">
        <v>188</v>
      </c>
      <c r="C7" s="8"/>
      <c r="D7" s="8"/>
      <c r="E7" s="8"/>
      <c r="F7" s="8"/>
      <c r="G7" s="8"/>
      <c r="H7" s="8"/>
      <c r="I7" s="8"/>
      <c r="J7" s="8"/>
      <c r="K7" s="8"/>
      <c r="L7" s="8"/>
      <c r="M7" s="8"/>
      <c r="N7" s="8"/>
      <c r="O7" s="8"/>
      <c r="P7" s="5"/>
    </row>
    <row r="8" spans="1:16" ht="15.6" x14ac:dyDescent="0.3">
      <c r="A8" s="6"/>
      <c r="B8" s="11"/>
      <c r="C8" s="8"/>
      <c r="D8" s="8"/>
      <c r="E8" s="8"/>
      <c r="F8" s="8"/>
      <c r="G8" s="8"/>
      <c r="H8" s="8"/>
      <c r="I8" s="8"/>
      <c r="J8" s="8"/>
      <c r="K8" s="8"/>
      <c r="L8" s="8"/>
      <c r="M8" s="8"/>
      <c r="N8" s="8"/>
      <c r="O8" s="8"/>
      <c r="P8" s="5"/>
    </row>
    <row r="9" spans="1:16" ht="17.399999999999999" x14ac:dyDescent="0.3">
      <c r="A9" s="6"/>
      <c r="B9" s="138" t="s">
        <v>153</v>
      </c>
      <c r="C9" s="8"/>
      <c r="D9" s="139"/>
      <c r="E9" s="8"/>
      <c r="F9" s="139"/>
      <c r="G9" s="8"/>
      <c r="H9" s="8"/>
      <c r="I9" s="8"/>
      <c r="J9" s="8"/>
      <c r="K9" s="8"/>
      <c r="L9" s="8"/>
      <c r="M9" s="8"/>
      <c r="N9" s="8"/>
      <c r="O9" s="8"/>
      <c r="P9" s="5"/>
    </row>
    <row r="10" spans="1:16" ht="15.6" x14ac:dyDescent="0.3">
      <c r="A10" s="6"/>
      <c r="B10" s="11"/>
      <c r="C10" s="13"/>
      <c r="D10" s="8"/>
      <c r="E10" s="8"/>
      <c r="F10" s="8"/>
      <c r="G10" s="8"/>
      <c r="H10" s="8"/>
      <c r="I10" s="8"/>
      <c r="J10" s="8"/>
      <c r="K10" s="8"/>
      <c r="L10" s="8"/>
      <c r="M10" s="8"/>
      <c r="N10" s="8"/>
      <c r="O10" s="8"/>
      <c r="P10" s="5"/>
    </row>
    <row r="11" spans="1:16" ht="15.6" x14ac:dyDescent="0.3">
      <c r="A11" s="6"/>
      <c r="B11" s="14" t="s">
        <v>0</v>
      </c>
      <c r="C11" s="8"/>
      <c r="D11" s="8"/>
      <c r="E11" s="8"/>
      <c r="F11" s="8"/>
      <c r="G11" s="8"/>
      <c r="H11" s="8"/>
      <c r="I11" s="8"/>
      <c r="J11" s="8"/>
      <c r="K11" s="8"/>
      <c r="L11" s="8"/>
      <c r="M11" s="8"/>
      <c r="N11" s="8"/>
      <c r="O11" s="8"/>
      <c r="P11" s="5"/>
    </row>
    <row r="12" spans="1:16" ht="16.2" thickBot="1" x14ac:dyDescent="0.35">
      <c r="A12" s="6"/>
      <c r="B12" s="13"/>
      <c r="C12" s="8"/>
      <c r="D12" s="8"/>
      <c r="E12" s="8"/>
      <c r="F12" s="8"/>
      <c r="G12" s="8"/>
      <c r="H12" s="8"/>
      <c r="I12" s="8"/>
      <c r="J12" s="8"/>
      <c r="K12" s="8"/>
      <c r="L12" s="8"/>
      <c r="M12" s="8"/>
      <c r="N12" s="8"/>
      <c r="O12" s="8"/>
      <c r="P12" s="5"/>
    </row>
    <row r="13" spans="1:16" ht="15.6" x14ac:dyDescent="0.3">
      <c r="A13" s="2"/>
      <c r="B13" s="4"/>
      <c r="C13" s="4"/>
      <c r="D13" s="4"/>
      <c r="E13" s="4"/>
      <c r="F13" s="4"/>
      <c r="G13" s="4"/>
      <c r="H13" s="4"/>
      <c r="I13" s="4"/>
      <c r="J13" s="4"/>
      <c r="K13" s="4"/>
      <c r="L13" s="4"/>
      <c r="M13" s="4"/>
      <c r="N13" s="4"/>
      <c r="O13" s="4"/>
      <c r="P13" s="5"/>
    </row>
    <row r="14" spans="1:16" ht="15.6" x14ac:dyDescent="0.3">
      <c r="A14" s="6"/>
      <c r="B14" s="14" t="s">
        <v>1</v>
      </c>
      <c r="C14" s="15"/>
      <c r="D14" s="15"/>
      <c r="E14" s="15"/>
      <c r="F14" s="15"/>
      <c r="G14" s="15"/>
      <c r="H14" s="15"/>
      <c r="I14" s="15"/>
      <c r="J14" s="15"/>
      <c r="K14" s="15"/>
      <c r="L14" s="15"/>
      <c r="M14" s="15"/>
      <c r="N14" s="16" t="s">
        <v>186</v>
      </c>
      <c r="O14" s="15"/>
      <c r="P14" s="5"/>
    </row>
    <row r="15" spans="1:16" ht="15.6" x14ac:dyDescent="0.3">
      <c r="A15" s="6"/>
      <c r="B15" s="14" t="s">
        <v>2</v>
      </c>
      <c r="C15" s="15"/>
      <c r="D15" s="18"/>
      <c r="E15" s="18"/>
      <c r="F15" s="18"/>
      <c r="G15" s="18"/>
      <c r="H15" s="18"/>
      <c r="I15" s="18"/>
      <c r="J15" s="18" t="s">
        <v>101</v>
      </c>
      <c r="K15" s="129">
        <v>4.07E-2</v>
      </c>
      <c r="L15" s="17" t="s">
        <v>133</v>
      </c>
      <c r="M15" s="129">
        <v>0.95930000000000004</v>
      </c>
      <c r="N15" s="16"/>
      <c r="O15" s="15"/>
      <c r="P15" s="5"/>
    </row>
    <row r="16" spans="1:16" ht="15.6" x14ac:dyDescent="0.3">
      <c r="A16" s="6"/>
      <c r="B16" s="14" t="s">
        <v>3</v>
      </c>
      <c r="C16" s="15"/>
      <c r="D16" s="18"/>
      <c r="E16" s="18"/>
      <c r="F16" s="18"/>
      <c r="G16" s="18"/>
      <c r="H16" s="18"/>
      <c r="I16" s="18"/>
      <c r="J16" s="18" t="s">
        <v>101</v>
      </c>
      <c r="K16" s="129">
        <v>5.11E-2</v>
      </c>
      <c r="L16" s="17" t="s">
        <v>133</v>
      </c>
      <c r="M16" s="129">
        <v>0.94889999999999997</v>
      </c>
      <c r="N16" s="16"/>
      <c r="O16" s="15"/>
      <c r="P16" s="5"/>
    </row>
    <row r="17" spans="1:16" ht="15.6" x14ac:dyDescent="0.3">
      <c r="A17" s="6"/>
      <c r="B17" s="14" t="s">
        <v>4</v>
      </c>
      <c r="C17" s="15"/>
      <c r="D17" s="15"/>
      <c r="E17" s="15"/>
      <c r="F17" s="15"/>
      <c r="G17" s="15"/>
      <c r="H17" s="15"/>
      <c r="I17" s="15"/>
      <c r="J17" s="15"/>
      <c r="K17" s="15"/>
      <c r="L17" s="15"/>
      <c r="M17" s="15"/>
      <c r="N17" s="19">
        <v>39107</v>
      </c>
      <c r="O17" s="15"/>
      <c r="P17" s="5"/>
    </row>
    <row r="18" spans="1:16" ht="15.6" x14ac:dyDescent="0.3">
      <c r="A18" s="6"/>
      <c r="B18" s="14" t="s">
        <v>5</v>
      </c>
      <c r="C18" s="15"/>
      <c r="D18" s="15"/>
      <c r="E18" s="15"/>
      <c r="F18" s="15"/>
      <c r="G18" s="15"/>
      <c r="H18" s="15"/>
      <c r="I18" s="15"/>
      <c r="J18" s="15"/>
      <c r="K18" s="15"/>
      <c r="L18" s="15"/>
      <c r="M18" s="15"/>
      <c r="N18" s="19">
        <v>39986</v>
      </c>
      <c r="O18" s="15"/>
      <c r="P18" s="5"/>
    </row>
    <row r="19" spans="1:16" ht="15.6" x14ac:dyDescent="0.3">
      <c r="A19" s="6"/>
      <c r="B19" s="8"/>
      <c r="C19" s="8"/>
      <c r="D19" s="8"/>
      <c r="E19" s="8"/>
      <c r="F19" s="8"/>
      <c r="G19" s="8"/>
      <c r="H19" s="8"/>
      <c r="I19" s="8"/>
      <c r="J19" s="8"/>
      <c r="K19" s="8"/>
      <c r="L19" s="8"/>
      <c r="M19" s="8"/>
      <c r="N19" s="20"/>
      <c r="O19" s="8"/>
      <c r="P19" s="5"/>
    </row>
    <row r="20" spans="1:16" ht="15.6" x14ac:dyDescent="0.3">
      <c r="A20" s="6"/>
      <c r="B20" s="21" t="s">
        <v>6</v>
      </c>
      <c r="C20" s="8"/>
      <c r="D20" s="8"/>
      <c r="E20" s="8"/>
      <c r="F20" s="8"/>
      <c r="G20" s="8"/>
      <c r="H20" s="8"/>
      <c r="I20" s="8"/>
      <c r="J20" s="8"/>
      <c r="K20" s="8"/>
      <c r="L20" s="20" t="s">
        <v>102</v>
      </c>
      <c r="M20" s="8"/>
      <c r="N20" s="174"/>
      <c r="O20" s="8"/>
      <c r="P20" s="5"/>
    </row>
    <row r="21" spans="1:16" ht="15.6" x14ac:dyDescent="0.3">
      <c r="A21" s="6"/>
      <c r="B21" s="8"/>
      <c r="C21" s="8"/>
      <c r="D21" s="8"/>
      <c r="E21" s="8"/>
      <c r="F21" s="8"/>
      <c r="G21" s="8"/>
      <c r="H21" s="8"/>
      <c r="I21" s="8"/>
      <c r="J21" s="8"/>
      <c r="K21" s="8"/>
      <c r="L21" s="8"/>
      <c r="M21" s="8"/>
      <c r="N21" s="22"/>
      <c r="O21" s="8"/>
      <c r="P21" s="5"/>
    </row>
    <row r="22" spans="1:16" ht="15.6" x14ac:dyDescent="0.3">
      <c r="A22" s="6"/>
      <c r="B22" s="8"/>
      <c r="C22" s="107"/>
      <c r="D22" s="107" t="s">
        <v>103</v>
      </c>
      <c r="E22" s="107"/>
      <c r="F22" s="107" t="s">
        <v>189</v>
      </c>
      <c r="G22" s="107"/>
      <c r="H22" s="107" t="s">
        <v>190</v>
      </c>
      <c r="I22" s="107"/>
      <c r="J22" s="107"/>
      <c r="K22" s="108"/>
      <c r="L22" s="23"/>
      <c r="M22" s="174"/>
      <c r="N22" s="174"/>
      <c r="O22" s="8"/>
      <c r="P22" s="5"/>
    </row>
    <row r="23" spans="1:16" ht="15.6" x14ac:dyDescent="0.3">
      <c r="A23" s="24"/>
      <c r="B23" s="25" t="s">
        <v>7</v>
      </c>
      <c r="C23" s="26"/>
      <c r="D23" s="26" t="s">
        <v>134</v>
      </c>
      <c r="E23" s="26"/>
      <c r="F23" s="26" t="s">
        <v>152</v>
      </c>
      <c r="G23" s="26"/>
      <c r="H23" s="26" t="s">
        <v>135</v>
      </c>
      <c r="I23" s="26"/>
      <c r="J23" s="26"/>
      <c r="K23" s="26"/>
      <c r="L23" s="26"/>
      <c r="M23" s="175"/>
      <c r="N23" s="175"/>
      <c r="O23" s="25"/>
      <c r="P23" s="5"/>
    </row>
    <row r="24" spans="1:16" ht="15.6" x14ac:dyDescent="0.3">
      <c r="A24" s="28"/>
      <c r="B24" s="124" t="s">
        <v>162</v>
      </c>
      <c r="C24" s="118"/>
      <c r="D24" s="26" t="s">
        <v>134</v>
      </c>
      <c r="E24" s="26"/>
      <c r="F24" s="26" t="s">
        <v>152</v>
      </c>
      <c r="G24" s="26"/>
      <c r="H24" s="26" t="s">
        <v>135</v>
      </c>
      <c r="I24" s="26"/>
      <c r="J24" s="26"/>
      <c r="K24" s="118"/>
      <c r="L24" s="26"/>
      <c r="M24" s="175"/>
      <c r="N24" s="175"/>
      <c r="O24" s="25"/>
      <c r="P24" s="5"/>
    </row>
    <row r="25" spans="1:16" ht="15.6" x14ac:dyDescent="0.3">
      <c r="A25" s="24"/>
      <c r="B25" s="29" t="s">
        <v>163</v>
      </c>
      <c r="C25" s="26"/>
      <c r="D25" s="118" t="s">
        <v>134</v>
      </c>
      <c r="E25" s="118"/>
      <c r="F25" s="118" t="s">
        <v>152</v>
      </c>
      <c r="G25" s="118"/>
      <c r="H25" s="118" t="s">
        <v>135</v>
      </c>
      <c r="I25" s="118"/>
      <c r="J25" s="118"/>
      <c r="K25" s="26"/>
      <c r="L25" s="30"/>
      <c r="M25" s="175"/>
      <c r="N25" s="175"/>
      <c r="O25" s="25"/>
      <c r="P25" s="5"/>
    </row>
    <row r="26" spans="1:16" ht="15.6" x14ac:dyDescent="0.3">
      <c r="A26" s="24"/>
      <c r="B26" s="143" t="s">
        <v>164</v>
      </c>
      <c r="C26" s="26"/>
      <c r="D26" s="118" t="s">
        <v>134</v>
      </c>
      <c r="E26" s="118"/>
      <c r="F26" s="118" t="s">
        <v>152</v>
      </c>
      <c r="G26" s="118"/>
      <c r="H26" s="118" t="s">
        <v>135</v>
      </c>
      <c r="I26" s="118"/>
      <c r="J26" s="118"/>
      <c r="K26" s="26"/>
      <c r="L26" s="30"/>
      <c r="M26" s="175"/>
      <c r="N26" s="175"/>
      <c r="O26" s="25"/>
      <c r="P26" s="5"/>
    </row>
    <row r="27" spans="1:16" ht="15.6" x14ac:dyDescent="0.3">
      <c r="A27" s="24"/>
      <c r="B27" s="25" t="s">
        <v>8</v>
      </c>
      <c r="C27" s="32"/>
      <c r="D27" s="26" t="s">
        <v>218</v>
      </c>
      <c r="E27" s="26"/>
      <c r="F27" s="26" t="s">
        <v>219</v>
      </c>
      <c r="G27" s="26"/>
      <c r="H27" s="26" t="s">
        <v>220</v>
      </c>
      <c r="I27" s="26"/>
      <c r="J27" s="26"/>
      <c r="K27" s="31"/>
      <c r="L27" s="31"/>
      <c r="M27" s="176"/>
      <c r="N27" s="31"/>
      <c r="O27" s="34"/>
      <c r="P27" s="5"/>
    </row>
    <row r="28" spans="1:16" ht="15.6" x14ac:dyDescent="0.3">
      <c r="A28" s="28"/>
      <c r="B28" s="25" t="s">
        <v>129</v>
      </c>
      <c r="C28" s="36"/>
      <c r="D28" s="31">
        <v>260500</v>
      </c>
      <c r="E28" s="31"/>
      <c r="F28" s="31">
        <v>4050</v>
      </c>
      <c r="G28" s="31"/>
      <c r="H28" s="31">
        <v>4050</v>
      </c>
      <c r="I28" s="31"/>
      <c r="J28" s="119"/>
      <c r="K28" s="35"/>
      <c r="L28" s="35"/>
      <c r="M28" s="37"/>
      <c r="N28" s="144">
        <f>SUM(D28:H28)</f>
        <v>268600</v>
      </c>
      <c r="O28" s="34"/>
      <c r="P28" s="5"/>
    </row>
    <row r="29" spans="1:16" ht="15.6" x14ac:dyDescent="0.3">
      <c r="A29" s="24"/>
      <c r="B29" s="25" t="s">
        <v>128</v>
      </c>
      <c r="C29" s="32"/>
      <c r="D29" s="31">
        <f>D28*D32</f>
        <v>138009.09669999999</v>
      </c>
      <c r="E29" s="31"/>
      <c r="F29" s="31">
        <f>F28*F32</f>
        <v>4050</v>
      </c>
      <c r="G29" s="31"/>
      <c r="H29" s="31">
        <f>H28*H32</f>
        <v>4050</v>
      </c>
      <c r="I29" s="31"/>
      <c r="J29" s="119"/>
      <c r="K29" s="31"/>
      <c r="L29" s="31"/>
      <c r="M29" s="176"/>
      <c r="N29" s="31">
        <f>SUM(D29:H29)</f>
        <v>146109.09669999999</v>
      </c>
      <c r="O29" s="34"/>
      <c r="P29" s="5"/>
    </row>
    <row r="30" spans="1:16" ht="15.6" x14ac:dyDescent="0.3">
      <c r="A30" s="24"/>
      <c r="B30" s="29" t="s">
        <v>130</v>
      </c>
      <c r="C30" s="32"/>
      <c r="D30" s="35">
        <f>D28*D31</f>
        <v>129392.1214</v>
      </c>
      <c r="E30" s="35"/>
      <c r="F30" s="35">
        <f>F28*F31</f>
        <v>4050</v>
      </c>
      <c r="G30" s="35"/>
      <c r="H30" s="35">
        <f>H28*H31</f>
        <v>4050</v>
      </c>
      <c r="I30" s="35"/>
      <c r="J30" s="120"/>
      <c r="K30" s="31"/>
      <c r="L30" s="31"/>
      <c r="M30" s="176"/>
      <c r="N30" s="145">
        <f>SUM(D30:I30)</f>
        <v>137492.1214</v>
      </c>
      <c r="O30" s="34"/>
      <c r="P30" s="5"/>
    </row>
    <row r="31" spans="1:16" ht="15.6" x14ac:dyDescent="0.3">
      <c r="A31" s="24"/>
      <c r="B31" s="117" t="s">
        <v>126</v>
      </c>
      <c r="C31" s="25"/>
      <c r="D31" s="171">
        <v>0.4967068</v>
      </c>
      <c r="E31" s="171"/>
      <c r="F31" s="171">
        <v>1</v>
      </c>
      <c r="G31" s="171"/>
      <c r="H31" s="171">
        <v>1</v>
      </c>
      <c r="I31" s="128"/>
      <c r="J31" s="128"/>
      <c r="K31" s="30"/>
      <c r="L31" s="30"/>
      <c r="M31" s="175"/>
      <c r="N31" s="175"/>
      <c r="O31" s="25"/>
      <c r="P31" s="5"/>
    </row>
    <row r="32" spans="1:16" ht="15.6" x14ac:dyDescent="0.3">
      <c r="A32" s="24"/>
      <c r="B32" s="117" t="s">
        <v>127</v>
      </c>
      <c r="C32" s="25"/>
      <c r="D32" s="171">
        <v>0.52978539999999996</v>
      </c>
      <c r="E32" s="171"/>
      <c r="F32" s="171">
        <v>1</v>
      </c>
      <c r="G32" s="171"/>
      <c r="H32" s="171">
        <v>1</v>
      </c>
      <c r="I32" s="128"/>
      <c r="J32" s="128"/>
      <c r="K32" s="39"/>
      <c r="L32" s="38"/>
      <c r="M32" s="175"/>
      <c r="N32" s="39"/>
      <c r="O32" s="25"/>
      <c r="P32" s="5"/>
    </row>
    <row r="33" spans="1:17" ht="15.6" x14ac:dyDescent="0.3">
      <c r="A33" s="24"/>
      <c r="B33" s="25" t="s">
        <v>9</v>
      </c>
      <c r="C33" s="25"/>
      <c r="D33" s="30" t="s">
        <v>192</v>
      </c>
      <c r="E33" s="30"/>
      <c r="F33" s="30" t="s">
        <v>194</v>
      </c>
      <c r="G33" s="30"/>
      <c r="H33" s="30" t="s">
        <v>196</v>
      </c>
      <c r="I33" s="30"/>
      <c r="J33" s="30"/>
      <c r="K33" s="39"/>
      <c r="L33" s="38"/>
      <c r="M33" s="175"/>
      <c r="N33" s="175"/>
      <c r="O33" s="25"/>
      <c r="P33" s="5"/>
    </row>
    <row r="34" spans="1:17" ht="15.6" x14ac:dyDescent="0.3">
      <c r="A34" s="24"/>
      <c r="B34" s="25" t="s">
        <v>10</v>
      </c>
      <c r="C34" s="25"/>
      <c r="D34" s="38">
        <v>1.9581299999999999E-2</v>
      </c>
      <c r="E34" s="39"/>
      <c r="F34" s="38">
        <v>2.0181299999999999E-2</v>
      </c>
      <c r="G34" s="39"/>
      <c r="H34" s="38">
        <v>2.11813E-2</v>
      </c>
      <c r="I34" s="39"/>
      <c r="J34" s="38"/>
      <c r="K34" s="39"/>
      <c r="L34" s="38"/>
      <c r="M34" s="175"/>
      <c r="N34" s="39">
        <f>SUMPRODUCT(D34:H34,D29:H29)/N29</f>
        <v>1.9642281829340132E-2</v>
      </c>
      <c r="O34" s="25"/>
      <c r="P34" s="5"/>
    </row>
    <row r="35" spans="1:17" ht="15.6" x14ac:dyDescent="0.3">
      <c r="A35" s="24"/>
      <c r="B35" s="25" t="s">
        <v>11</v>
      </c>
      <c r="C35" s="25"/>
      <c r="D35" s="38">
        <v>3.2524999999999998E-2</v>
      </c>
      <c r="E35" s="39"/>
      <c r="F35" s="38">
        <v>3.3125000000000002E-2</v>
      </c>
      <c r="G35" s="39"/>
      <c r="H35" s="38">
        <v>3.4125000000000003E-2</v>
      </c>
      <c r="I35" s="38"/>
      <c r="J35" s="38"/>
      <c r="K35" s="39"/>
      <c r="L35" s="38"/>
      <c r="M35" s="175"/>
      <c r="N35" s="39" t="s">
        <v>165</v>
      </c>
      <c r="O35" s="25"/>
      <c r="P35" s="5"/>
    </row>
    <row r="36" spans="1:17" ht="15.6" x14ac:dyDescent="0.3">
      <c r="A36" s="24"/>
      <c r="B36" s="25" t="s">
        <v>12</v>
      </c>
      <c r="C36" s="25"/>
      <c r="D36" s="105">
        <v>40617</v>
      </c>
      <c r="E36" s="105"/>
      <c r="F36" s="105">
        <v>40617</v>
      </c>
      <c r="G36" s="105"/>
      <c r="H36" s="105">
        <v>40617</v>
      </c>
      <c r="I36" s="105"/>
      <c r="J36" s="105"/>
      <c r="K36" s="30"/>
      <c r="L36" s="30"/>
      <c r="M36" s="175"/>
      <c r="N36" s="175"/>
      <c r="O36" s="25"/>
      <c r="P36" s="5"/>
    </row>
    <row r="37" spans="1:17" ht="15.6" x14ac:dyDescent="0.3">
      <c r="A37" s="24"/>
      <c r="B37" s="25" t="s">
        <v>13</v>
      </c>
      <c r="C37" s="25"/>
      <c r="D37" s="105">
        <v>40983</v>
      </c>
      <c r="E37" s="30"/>
      <c r="F37" s="105">
        <v>40983</v>
      </c>
      <c r="G37" s="30"/>
      <c r="H37" s="105">
        <v>40983</v>
      </c>
      <c r="I37" s="30"/>
      <c r="J37" s="105"/>
      <c r="K37" s="30"/>
      <c r="L37" s="30"/>
      <c r="M37" s="175"/>
      <c r="N37" s="175"/>
      <c r="O37" s="25"/>
      <c r="P37" s="5"/>
    </row>
    <row r="38" spans="1:17" ht="15.6" x14ac:dyDescent="0.3">
      <c r="A38" s="24"/>
      <c r="B38" s="25" t="s">
        <v>118</v>
      </c>
      <c r="C38" s="25"/>
      <c r="D38" s="30" t="s">
        <v>193</v>
      </c>
      <c r="E38" s="30"/>
      <c r="F38" s="30" t="s">
        <v>195</v>
      </c>
      <c r="G38" s="30"/>
      <c r="H38" s="30" t="s">
        <v>197</v>
      </c>
      <c r="I38" s="30"/>
      <c r="J38" s="30"/>
      <c r="K38" s="40"/>
      <c r="L38" s="40"/>
      <c r="M38" s="40"/>
      <c r="N38" s="40"/>
      <c r="O38" s="25"/>
      <c r="P38" s="5"/>
    </row>
    <row r="39" spans="1:17" ht="15.6" x14ac:dyDescent="0.3">
      <c r="A39" s="24"/>
      <c r="B39" s="25"/>
      <c r="C39" s="25"/>
      <c r="D39" s="30"/>
      <c r="E39" s="30"/>
      <c r="F39" s="30"/>
      <c r="G39" s="30"/>
      <c r="H39" s="30"/>
      <c r="I39" s="30"/>
      <c r="J39" s="30"/>
      <c r="K39" s="25"/>
      <c r="L39" s="25"/>
      <c r="M39" s="25"/>
      <c r="N39" s="39" t="s">
        <v>165</v>
      </c>
      <c r="O39" s="25"/>
      <c r="P39" s="5"/>
    </row>
    <row r="40" spans="1:17" ht="15.6" x14ac:dyDescent="0.3">
      <c r="A40" s="24"/>
      <c r="B40" s="25" t="s">
        <v>156</v>
      </c>
      <c r="C40" s="25"/>
      <c r="D40" s="30"/>
      <c r="E40" s="30"/>
      <c r="F40" s="30"/>
      <c r="G40" s="30"/>
      <c r="H40" s="30"/>
      <c r="I40" s="30"/>
      <c r="J40" s="30"/>
      <c r="K40" s="25"/>
      <c r="L40" s="25"/>
      <c r="M40" s="25"/>
      <c r="N40" s="39">
        <f>SUM(F28:H28)/SUM(D28)</f>
        <v>3.109404990403071E-2</v>
      </c>
      <c r="O40" s="25"/>
      <c r="P40" s="5"/>
    </row>
    <row r="41" spans="1:17" ht="15.6" x14ac:dyDescent="0.3">
      <c r="A41" s="24"/>
      <c r="B41" s="25" t="s">
        <v>157</v>
      </c>
      <c r="C41" s="25"/>
      <c r="D41" s="25"/>
      <c r="E41" s="25"/>
      <c r="F41" s="25"/>
      <c r="G41" s="25"/>
      <c r="H41" s="25"/>
      <c r="I41" s="25"/>
      <c r="J41" s="25"/>
      <c r="K41" s="25"/>
      <c r="L41" s="25"/>
      <c r="M41" s="25"/>
      <c r="N41" s="39">
        <f>SUM(F30:H30)/SUM(D30)</f>
        <v>6.2600411156099961E-2</v>
      </c>
      <c r="O41" s="25"/>
      <c r="P41" s="5"/>
    </row>
    <row r="42" spans="1:17" ht="15.6" x14ac:dyDescent="0.3">
      <c r="A42" s="24"/>
      <c r="B42" s="25" t="s">
        <v>158</v>
      </c>
      <c r="C42" s="25"/>
      <c r="D42" s="25"/>
      <c r="E42" s="25"/>
      <c r="F42" s="25"/>
      <c r="G42" s="25"/>
      <c r="H42" s="25"/>
      <c r="I42" s="25"/>
      <c r="J42" s="25"/>
      <c r="K42" s="25"/>
      <c r="L42" s="30" t="s">
        <v>103</v>
      </c>
      <c r="M42" s="30" t="s">
        <v>109</v>
      </c>
      <c r="N42" s="31">
        <f>+N28/2-SUM(F28:H28)</f>
        <v>126200</v>
      </c>
      <c r="O42" s="25"/>
      <c r="P42" s="5"/>
    </row>
    <row r="43" spans="1:17" ht="15.6" x14ac:dyDescent="0.3">
      <c r="A43" s="24"/>
      <c r="B43" s="25"/>
      <c r="C43" s="25"/>
      <c r="D43" s="25"/>
      <c r="E43" s="25"/>
      <c r="F43" s="25"/>
      <c r="G43" s="25"/>
      <c r="H43" s="25"/>
      <c r="I43" s="25"/>
      <c r="J43" s="25"/>
      <c r="K43" s="25"/>
      <c r="L43" s="25"/>
      <c r="M43" s="25"/>
      <c r="N43" s="41"/>
      <c r="O43" s="25"/>
      <c r="P43" s="5"/>
    </row>
    <row r="44" spans="1:17" ht="15.6" x14ac:dyDescent="0.3">
      <c r="A44" s="24"/>
      <c r="B44" s="25" t="s">
        <v>198</v>
      </c>
      <c r="C44" s="25"/>
      <c r="D44" s="25"/>
      <c r="E44" s="25"/>
      <c r="F44" s="25"/>
      <c r="G44" s="25"/>
      <c r="H44" s="25"/>
      <c r="I44" s="25"/>
      <c r="J44" s="25"/>
      <c r="K44" s="25"/>
      <c r="L44" s="30"/>
      <c r="M44" s="30"/>
      <c r="N44" s="146" t="s">
        <v>111</v>
      </c>
      <c r="O44" s="25"/>
      <c r="P44" s="5"/>
    </row>
    <row r="45" spans="1:17" ht="15.6" x14ac:dyDescent="0.3">
      <c r="A45" s="24"/>
      <c r="B45" s="29" t="s">
        <v>168</v>
      </c>
      <c r="C45" s="29"/>
      <c r="D45" s="29"/>
      <c r="E45" s="29"/>
      <c r="F45" s="29"/>
      <c r="G45" s="29"/>
      <c r="H45" s="29"/>
      <c r="I45" s="29"/>
      <c r="J45" s="29"/>
      <c r="K45" s="29"/>
      <c r="L45" s="42"/>
      <c r="M45" s="42"/>
      <c r="N45" s="43">
        <v>39979</v>
      </c>
      <c r="O45" s="25"/>
      <c r="P45" s="5"/>
    </row>
    <row r="46" spans="1:17" ht="15.6" x14ac:dyDescent="0.3">
      <c r="A46" s="24"/>
      <c r="B46" s="25" t="s">
        <v>119</v>
      </c>
      <c r="C46" s="25"/>
      <c r="D46" s="56"/>
      <c r="E46" s="56"/>
      <c r="F46" s="56"/>
      <c r="G46" s="56"/>
      <c r="H46" s="56"/>
      <c r="I46" s="56"/>
      <c r="J46" s="25">
        <f>+N46-L46+1</f>
        <v>91</v>
      </c>
      <c r="K46" s="56"/>
      <c r="L46" s="44">
        <v>39797</v>
      </c>
      <c r="M46" s="45"/>
      <c r="N46" s="44">
        <v>39887</v>
      </c>
      <c r="O46" s="25"/>
      <c r="P46" s="5"/>
    </row>
    <row r="47" spans="1:17" ht="15.6" x14ac:dyDescent="0.3">
      <c r="A47" s="24"/>
      <c r="B47" s="25" t="s">
        <v>120</v>
      </c>
      <c r="C47" s="25"/>
      <c r="D47" s="25"/>
      <c r="E47" s="25"/>
      <c r="F47" s="25"/>
      <c r="G47" s="25"/>
      <c r="H47" s="25"/>
      <c r="I47" s="25"/>
      <c r="J47" s="25">
        <f>+N47-L47+1</f>
        <v>91</v>
      </c>
      <c r="K47" s="25"/>
      <c r="L47" s="44">
        <v>39888</v>
      </c>
      <c r="M47" s="45"/>
      <c r="N47" s="44">
        <v>39978</v>
      </c>
      <c r="O47" s="25"/>
      <c r="P47" s="5"/>
    </row>
    <row r="48" spans="1:17" ht="15.6" x14ac:dyDescent="0.3">
      <c r="A48" s="24"/>
      <c r="B48" s="25" t="s">
        <v>199</v>
      </c>
      <c r="C48" s="25"/>
      <c r="D48" s="25"/>
      <c r="E48" s="25"/>
      <c r="F48" s="25"/>
      <c r="G48" s="25"/>
      <c r="H48" s="25"/>
      <c r="I48" s="25"/>
      <c r="J48" s="25"/>
      <c r="K48" s="25"/>
      <c r="L48" s="44"/>
      <c r="M48" s="45"/>
      <c r="N48" s="44" t="s">
        <v>143</v>
      </c>
      <c r="O48" s="25"/>
      <c r="P48" s="5"/>
      <c r="Q48" s="127"/>
    </row>
    <row r="49" spans="1:16" ht="15.6" x14ac:dyDescent="0.3">
      <c r="A49" s="24"/>
      <c r="B49" s="25" t="s">
        <v>14</v>
      </c>
      <c r="C49" s="25"/>
      <c r="D49" s="25"/>
      <c r="E49" s="25"/>
      <c r="F49" s="25"/>
      <c r="G49" s="25"/>
      <c r="H49" s="25"/>
      <c r="I49" s="25"/>
      <c r="J49" s="25"/>
      <c r="K49" s="25"/>
      <c r="L49" s="44"/>
      <c r="M49" s="45"/>
      <c r="N49" s="44">
        <v>39965</v>
      </c>
      <c r="O49" s="25"/>
      <c r="P49" s="5"/>
    </row>
    <row r="50" spans="1:16" ht="15.6" x14ac:dyDescent="0.3">
      <c r="A50" s="24"/>
      <c r="B50" s="25"/>
      <c r="C50" s="25"/>
      <c r="D50" s="25"/>
      <c r="E50" s="25"/>
      <c r="F50" s="25"/>
      <c r="G50" s="25"/>
      <c r="H50" s="25"/>
      <c r="I50" s="25"/>
      <c r="J50" s="25"/>
      <c r="K50" s="25"/>
      <c r="L50" s="44"/>
      <c r="M50" s="45"/>
      <c r="N50" s="44"/>
      <c r="O50" s="25"/>
      <c r="P50" s="5"/>
    </row>
    <row r="51" spans="1:16" ht="15.6" x14ac:dyDescent="0.3">
      <c r="A51" s="6"/>
      <c r="B51" s="8"/>
      <c r="C51" s="8"/>
      <c r="D51" s="8"/>
      <c r="E51" s="8"/>
      <c r="F51" s="8"/>
      <c r="G51" s="8"/>
      <c r="H51" s="8"/>
      <c r="I51" s="8"/>
      <c r="J51" s="8"/>
      <c r="K51" s="8"/>
      <c r="L51" s="46"/>
      <c r="M51" s="47"/>
      <c r="N51" s="46"/>
      <c r="O51" s="8"/>
      <c r="P51" s="5"/>
    </row>
    <row r="52" spans="1:16" ht="18" thickBot="1" x14ac:dyDescent="0.35">
      <c r="A52" s="96"/>
      <c r="B52" s="97" t="s">
        <v>251</v>
      </c>
      <c r="C52" s="98"/>
      <c r="D52" s="98"/>
      <c r="E52" s="98"/>
      <c r="F52" s="98"/>
      <c r="G52" s="98"/>
      <c r="H52" s="98"/>
      <c r="I52" s="98"/>
      <c r="J52" s="98"/>
      <c r="K52" s="98"/>
      <c r="L52" s="98"/>
      <c r="M52" s="98"/>
      <c r="N52" s="99"/>
      <c r="O52" s="100"/>
      <c r="P52" s="5"/>
    </row>
    <row r="53" spans="1:16" ht="15.6" x14ac:dyDescent="0.3">
      <c r="A53" s="2"/>
      <c r="B53" s="4"/>
      <c r="C53" s="4"/>
      <c r="D53" s="4"/>
      <c r="E53" s="4"/>
      <c r="F53" s="4"/>
      <c r="G53" s="4"/>
      <c r="H53" s="4"/>
      <c r="I53" s="4"/>
      <c r="J53" s="4"/>
      <c r="K53" s="4"/>
      <c r="L53" s="4"/>
      <c r="M53" s="4"/>
      <c r="N53" s="49"/>
      <c r="O53" s="4"/>
      <c r="P53" s="5"/>
    </row>
    <row r="54" spans="1:16" ht="15.6" x14ac:dyDescent="0.3">
      <c r="A54" s="6"/>
      <c r="B54" s="50" t="s">
        <v>15</v>
      </c>
      <c r="C54" s="8"/>
      <c r="D54" s="8"/>
      <c r="E54" s="8"/>
      <c r="F54" s="8"/>
      <c r="G54" s="8"/>
      <c r="H54" s="8"/>
      <c r="I54" s="8"/>
      <c r="J54" s="8"/>
      <c r="K54" s="8"/>
      <c r="L54" s="8"/>
      <c r="M54" s="8"/>
      <c r="N54" s="51"/>
      <c r="O54" s="8"/>
      <c r="P54" s="5"/>
    </row>
    <row r="55" spans="1:16" ht="15.6" x14ac:dyDescent="0.3">
      <c r="A55" s="6"/>
      <c r="B55" s="13"/>
      <c r="C55" s="8"/>
      <c r="D55" s="8"/>
      <c r="E55" s="8"/>
      <c r="F55" s="8"/>
      <c r="G55" s="8"/>
      <c r="H55" s="8"/>
      <c r="I55" s="8"/>
      <c r="J55" s="8"/>
      <c r="K55" s="8"/>
      <c r="L55" s="8"/>
      <c r="M55" s="8"/>
      <c r="N55" s="51"/>
      <c r="O55" s="8"/>
      <c r="P55" s="5"/>
    </row>
    <row r="56" spans="1:16" ht="46.8" x14ac:dyDescent="0.3">
      <c r="A56" s="6"/>
      <c r="B56" s="109" t="s">
        <v>16</v>
      </c>
      <c r="C56" s="110"/>
      <c r="D56" s="110" t="s">
        <v>91</v>
      </c>
      <c r="E56" s="110"/>
      <c r="F56" s="110" t="s">
        <v>93</v>
      </c>
      <c r="G56" s="110"/>
      <c r="H56" s="110" t="s">
        <v>95</v>
      </c>
      <c r="I56" s="110"/>
      <c r="J56" s="110" t="s">
        <v>97</v>
      </c>
      <c r="K56" s="110"/>
      <c r="L56" s="110" t="s">
        <v>104</v>
      </c>
      <c r="M56" s="110"/>
      <c r="N56" s="111" t="s">
        <v>112</v>
      </c>
      <c r="O56" s="112"/>
      <c r="P56" s="5"/>
    </row>
    <row r="57" spans="1:16" ht="15.6" x14ac:dyDescent="0.3">
      <c r="A57" s="24"/>
      <c r="B57" s="25" t="s">
        <v>17</v>
      </c>
      <c r="C57" s="34"/>
      <c r="D57" s="34">
        <v>268565</v>
      </c>
      <c r="E57" s="34"/>
      <c r="F57" s="52">
        <v>146109</v>
      </c>
      <c r="G57" s="34"/>
      <c r="H57" s="34">
        <f>8617+1574+775</f>
        <v>10966</v>
      </c>
      <c r="I57" s="34"/>
      <c r="J57" s="34">
        <f>1574+775</f>
        <v>2349</v>
      </c>
      <c r="K57" s="34"/>
      <c r="L57" s="34">
        <v>0</v>
      </c>
      <c r="M57" s="34"/>
      <c r="N57" s="52">
        <f>+F57-H57+J57-L57</f>
        <v>137492</v>
      </c>
      <c r="O57" s="25"/>
      <c r="P57" s="5"/>
    </row>
    <row r="58" spans="1:16" ht="15.6" x14ac:dyDescent="0.3">
      <c r="A58" s="24"/>
      <c r="B58" s="25" t="s">
        <v>209</v>
      </c>
      <c r="C58" s="34"/>
      <c r="D58" s="34">
        <v>756</v>
      </c>
      <c r="E58" s="34"/>
      <c r="F58" s="52">
        <v>524</v>
      </c>
      <c r="G58" s="34"/>
      <c r="H58" s="34">
        <v>6</v>
      </c>
      <c r="I58" s="34"/>
      <c r="J58" s="34">
        <v>0</v>
      </c>
      <c r="K58" s="34"/>
      <c r="L58" s="34">
        <v>0</v>
      </c>
      <c r="M58" s="34"/>
      <c r="N58" s="52">
        <f>+F58-H58</f>
        <v>518</v>
      </c>
      <c r="O58" s="25"/>
      <c r="P58" s="5"/>
    </row>
    <row r="59" spans="1:16" ht="15.6" x14ac:dyDescent="0.3">
      <c r="A59" s="24"/>
      <c r="B59" s="25"/>
      <c r="C59" s="34"/>
      <c r="D59" s="34"/>
      <c r="E59" s="34"/>
      <c r="F59" s="52"/>
      <c r="G59" s="34"/>
      <c r="H59" s="34"/>
      <c r="I59" s="34"/>
      <c r="J59" s="34"/>
      <c r="K59" s="34"/>
      <c r="L59" s="34"/>
      <c r="M59" s="34"/>
      <c r="N59" s="52"/>
      <c r="O59" s="25"/>
      <c r="P59" s="5"/>
    </row>
    <row r="60" spans="1:16" ht="15.6" x14ac:dyDescent="0.3">
      <c r="A60" s="24"/>
      <c r="B60" s="25" t="s">
        <v>19</v>
      </c>
      <c r="C60" s="34"/>
      <c r="D60" s="34">
        <f>SUM(D57:D59)</f>
        <v>269321</v>
      </c>
      <c r="E60" s="34"/>
      <c r="F60" s="53">
        <f>F57+F58</f>
        <v>146633</v>
      </c>
      <c r="G60" s="34"/>
      <c r="H60" s="34">
        <f>SUM(H57:H59)</f>
        <v>10972</v>
      </c>
      <c r="I60" s="34"/>
      <c r="J60" s="34">
        <f>SUM(J57:J59)</f>
        <v>2349</v>
      </c>
      <c r="K60" s="34"/>
      <c r="L60" s="34">
        <f>SUM(L57:L59)</f>
        <v>0</v>
      </c>
      <c r="M60" s="34"/>
      <c r="N60" s="53">
        <f>SUM(N57:N59)</f>
        <v>138010</v>
      </c>
      <c r="O60" s="25"/>
      <c r="P60" s="5"/>
    </row>
    <row r="61" spans="1:16" ht="15.6" x14ac:dyDescent="0.3">
      <c r="A61" s="24"/>
      <c r="B61" s="25"/>
      <c r="C61" s="34"/>
      <c r="D61" s="34"/>
      <c r="E61" s="34"/>
      <c r="F61" s="34"/>
      <c r="G61" s="34"/>
      <c r="H61" s="34"/>
      <c r="I61" s="34"/>
      <c r="J61" s="34"/>
      <c r="K61" s="34"/>
      <c r="L61" s="34"/>
      <c r="M61" s="34"/>
      <c r="N61" s="53"/>
      <c r="O61" s="25"/>
      <c r="P61" s="5"/>
    </row>
    <row r="62" spans="1:16" ht="15.6" x14ac:dyDescent="0.3">
      <c r="A62" s="6"/>
      <c r="B62" s="106" t="s">
        <v>20</v>
      </c>
      <c r="C62" s="54"/>
      <c r="D62" s="54"/>
      <c r="E62" s="54"/>
      <c r="F62" s="54"/>
      <c r="G62" s="54"/>
      <c r="H62" s="54"/>
      <c r="I62" s="54"/>
      <c r="J62" s="54"/>
      <c r="K62" s="54"/>
      <c r="L62" s="54"/>
      <c r="M62" s="54"/>
      <c r="N62" s="55"/>
      <c r="O62" s="8"/>
      <c r="P62" s="5"/>
    </row>
    <row r="63" spans="1:16" ht="15.6" x14ac:dyDescent="0.3">
      <c r="A63" s="6"/>
      <c r="B63" s="8"/>
      <c r="C63" s="54"/>
      <c r="D63" s="54"/>
      <c r="E63" s="54"/>
      <c r="F63" s="54"/>
      <c r="G63" s="54"/>
      <c r="H63" s="54"/>
      <c r="I63" s="54"/>
      <c r="J63" s="54"/>
      <c r="K63" s="54"/>
      <c r="L63" s="54"/>
      <c r="M63" s="54"/>
      <c r="N63" s="55"/>
      <c r="O63" s="8"/>
      <c r="P63" s="5"/>
    </row>
    <row r="64" spans="1:16" ht="15.6" x14ac:dyDescent="0.3">
      <c r="A64" s="24"/>
      <c r="B64" s="25" t="s">
        <v>17</v>
      </c>
      <c r="C64" s="34"/>
      <c r="D64" s="34"/>
      <c r="E64" s="34"/>
      <c r="F64" s="34"/>
      <c r="G64" s="34"/>
      <c r="H64" s="34"/>
      <c r="I64" s="34"/>
      <c r="J64" s="34"/>
      <c r="K64" s="34"/>
      <c r="L64" s="34"/>
      <c r="M64" s="34"/>
      <c r="N64" s="53"/>
      <c r="O64" s="25"/>
      <c r="P64" s="5"/>
    </row>
    <row r="65" spans="1:16" ht="15.6" x14ac:dyDescent="0.3">
      <c r="A65" s="24"/>
      <c r="B65" s="25" t="s">
        <v>18</v>
      </c>
      <c r="C65" s="34"/>
      <c r="D65" s="34"/>
      <c r="E65" s="34"/>
      <c r="F65" s="34"/>
      <c r="G65" s="34"/>
      <c r="H65" s="34"/>
      <c r="I65" s="34"/>
      <c r="J65" s="34"/>
      <c r="K65" s="34"/>
      <c r="L65" s="34"/>
      <c r="M65" s="34"/>
      <c r="N65" s="53"/>
      <c r="O65" s="25"/>
      <c r="P65" s="5"/>
    </row>
    <row r="66" spans="1:16" ht="15.6" x14ac:dyDescent="0.3">
      <c r="A66" s="24"/>
      <c r="B66" s="25"/>
      <c r="C66" s="34"/>
      <c r="D66" s="34"/>
      <c r="E66" s="34"/>
      <c r="F66" s="34"/>
      <c r="G66" s="34"/>
      <c r="H66" s="34"/>
      <c r="I66" s="34"/>
      <c r="J66" s="34"/>
      <c r="K66" s="34"/>
      <c r="L66" s="34"/>
      <c r="M66" s="34"/>
      <c r="N66" s="53"/>
      <c r="O66" s="25"/>
      <c r="P66" s="5"/>
    </row>
    <row r="67" spans="1:16" ht="15.6" x14ac:dyDescent="0.3">
      <c r="A67" s="24"/>
      <c r="B67" s="25" t="s">
        <v>19</v>
      </c>
      <c r="C67" s="34"/>
      <c r="D67" s="34"/>
      <c r="E67" s="34"/>
      <c r="F67" s="34"/>
      <c r="G67" s="34"/>
      <c r="H67" s="34"/>
      <c r="I67" s="34"/>
      <c r="J67" s="34"/>
      <c r="K67" s="34"/>
      <c r="L67" s="34"/>
      <c r="M67" s="34"/>
      <c r="N67" s="34"/>
      <c r="O67" s="25"/>
      <c r="P67" s="5"/>
    </row>
    <row r="68" spans="1:16" ht="15.6" x14ac:dyDescent="0.3">
      <c r="A68" s="24"/>
      <c r="B68" s="25"/>
      <c r="C68" s="34"/>
      <c r="D68" s="34"/>
      <c r="E68" s="34"/>
      <c r="F68" s="34"/>
      <c r="G68" s="34"/>
      <c r="H68" s="34"/>
      <c r="I68" s="34"/>
      <c r="J68" s="34"/>
      <c r="K68" s="34"/>
      <c r="L68" s="34"/>
      <c r="M68" s="34"/>
      <c r="N68" s="34"/>
      <c r="O68" s="25"/>
      <c r="P68" s="5"/>
    </row>
    <row r="69" spans="1:16" ht="15.6" x14ac:dyDescent="0.3">
      <c r="A69" s="24"/>
      <c r="B69" s="25" t="s">
        <v>209</v>
      </c>
      <c r="C69" s="34"/>
      <c r="D69" s="34">
        <v>-756</v>
      </c>
      <c r="E69" s="34"/>
      <c r="F69" s="34">
        <v>-524</v>
      </c>
      <c r="G69" s="34"/>
      <c r="H69" s="34"/>
      <c r="I69" s="34"/>
      <c r="J69" s="34"/>
      <c r="K69" s="34"/>
      <c r="L69" s="34"/>
      <c r="M69" s="34"/>
      <c r="N69" s="52">
        <f>-N58</f>
        <v>-518</v>
      </c>
      <c r="O69" s="25"/>
      <c r="P69" s="5"/>
    </row>
    <row r="70" spans="1:16" ht="15.6" x14ac:dyDescent="0.3">
      <c r="A70" s="24"/>
      <c r="B70" s="25" t="s">
        <v>21</v>
      </c>
      <c r="C70" s="34"/>
      <c r="D70" s="34">
        <v>0</v>
      </c>
      <c r="E70" s="34"/>
      <c r="F70" s="34">
        <v>0</v>
      </c>
      <c r="G70" s="34"/>
      <c r="H70" s="34"/>
      <c r="I70" s="34"/>
      <c r="J70" s="34"/>
      <c r="K70" s="34"/>
      <c r="L70" s="34"/>
      <c r="M70" s="34"/>
      <c r="N70" s="53">
        <f>SUM(D70:J70)</f>
        <v>0</v>
      </c>
      <c r="O70" s="25"/>
      <c r="P70" s="5"/>
    </row>
    <row r="71" spans="1:16" ht="15.6" x14ac:dyDescent="0.3">
      <c r="A71" s="24"/>
      <c r="B71" s="25" t="s">
        <v>210</v>
      </c>
      <c r="C71" s="34"/>
      <c r="D71" s="34">
        <v>35</v>
      </c>
      <c r="E71" s="34"/>
      <c r="F71" s="34">
        <v>0</v>
      </c>
      <c r="G71" s="34"/>
      <c r="H71" s="34">
        <v>0</v>
      </c>
      <c r="I71" s="34"/>
      <c r="J71" s="34"/>
      <c r="K71" s="34"/>
      <c r="L71" s="34"/>
      <c r="M71" s="34"/>
      <c r="N71" s="53">
        <f>+F71+H71</f>
        <v>0</v>
      </c>
      <c r="O71" s="25"/>
      <c r="P71" s="5"/>
    </row>
    <row r="72" spans="1:16" ht="15.6" x14ac:dyDescent="0.3">
      <c r="A72" s="24"/>
      <c r="B72" s="25" t="s">
        <v>23</v>
      </c>
      <c r="C72" s="34"/>
      <c r="D72" s="34">
        <v>0</v>
      </c>
      <c r="E72" s="34"/>
      <c r="F72" s="34">
        <v>0</v>
      </c>
      <c r="G72" s="34"/>
      <c r="H72" s="34"/>
      <c r="I72" s="34"/>
      <c r="J72" s="34"/>
      <c r="K72" s="34"/>
      <c r="L72" s="34"/>
      <c r="M72" s="34"/>
      <c r="N72" s="53">
        <v>0</v>
      </c>
      <c r="O72" s="25"/>
      <c r="P72" s="5"/>
    </row>
    <row r="73" spans="1:16" ht="15.6" x14ac:dyDescent="0.3">
      <c r="A73" s="24"/>
      <c r="B73" s="25" t="s">
        <v>24</v>
      </c>
      <c r="C73" s="34"/>
      <c r="D73" s="53">
        <f>SUM(D60:D72)</f>
        <v>268600</v>
      </c>
      <c r="E73" s="34"/>
      <c r="F73" s="53">
        <f>SUM(F60:F72)</f>
        <v>146109</v>
      </c>
      <c r="G73" s="34"/>
      <c r="H73" s="34"/>
      <c r="I73" s="34"/>
      <c r="J73" s="34"/>
      <c r="K73" s="34"/>
      <c r="L73" s="53"/>
      <c r="M73" s="34"/>
      <c r="N73" s="53">
        <f>SUM(N60:N72)</f>
        <v>137492</v>
      </c>
      <c r="O73" s="25"/>
      <c r="P73" s="5"/>
    </row>
    <row r="74" spans="1:16" ht="15.6" x14ac:dyDescent="0.3">
      <c r="A74" s="24"/>
      <c r="B74" s="25"/>
      <c r="C74" s="34"/>
      <c r="D74" s="34"/>
      <c r="E74" s="34"/>
      <c r="F74" s="34"/>
      <c r="G74" s="34"/>
      <c r="H74" s="34"/>
      <c r="I74" s="34"/>
      <c r="J74" s="34"/>
      <c r="K74" s="34"/>
      <c r="L74" s="34"/>
      <c r="M74" s="34"/>
      <c r="N74" s="53"/>
      <c r="O74" s="25"/>
      <c r="P74" s="5"/>
    </row>
    <row r="75" spans="1:16" ht="15.6" x14ac:dyDescent="0.3">
      <c r="A75" s="6"/>
      <c r="B75" s="8"/>
      <c r="C75" s="8"/>
      <c r="D75" s="8"/>
      <c r="E75" s="8"/>
      <c r="F75" s="8"/>
      <c r="G75" s="8"/>
      <c r="H75" s="8"/>
      <c r="I75" s="8"/>
      <c r="J75" s="8"/>
      <c r="K75" s="8"/>
      <c r="L75" s="8"/>
      <c r="M75" s="8"/>
      <c r="N75" s="8"/>
      <c r="O75" s="8"/>
      <c r="P75" s="5"/>
    </row>
    <row r="76" spans="1:16" ht="15.6" x14ac:dyDescent="0.3">
      <c r="A76" s="6"/>
      <c r="B76" s="50" t="s">
        <v>25</v>
      </c>
      <c r="C76" s="14"/>
      <c r="D76" s="148" t="s">
        <v>92</v>
      </c>
      <c r="E76" s="17"/>
      <c r="F76" s="147">
        <f>+L184</f>
        <v>39962</v>
      </c>
      <c r="G76" s="17"/>
      <c r="H76" s="17"/>
      <c r="I76" s="17"/>
      <c r="J76" s="17"/>
      <c r="K76" s="17"/>
      <c r="L76" s="17" t="s">
        <v>105</v>
      </c>
      <c r="M76" s="17"/>
      <c r="N76" s="17" t="s">
        <v>113</v>
      </c>
      <c r="O76" s="8"/>
      <c r="P76" s="5"/>
    </row>
    <row r="77" spans="1:16" ht="15.6" x14ac:dyDescent="0.3">
      <c r="A77" s="24"/>
      <c r="B77" s="25" t="s">
        <v>26</v>
      </c>
      <c r="C77" s="25"/>
      <c r="D77" s="25"/>
      <c r="E77" s="25"/>
      <c r="F77" s="25"/>
      <c r="G77" s="25"/>
      <c r="H77" s="25"/>
      <c r="I77" s="25"/>
      <c r="J77" s="25"/>
      <c r="K77" s="25"/>
      <c r="L77" s="34">
        <v>0</v>
      </c>
      <c r="M77" s="25"/>
      <c r="N77" s="52">
        <v>0</v>
      </c>
      <c r="O77" s="25"/>
      <c r="P77" s="5"/>
    </row>
    <row r="78" spans="1:16" ht="15.6" x14ac:dyDescent="0.3">
      <c r="A78" s="24"/>
      <c r="B78" s="25" t="s">
        <v>27</v>
      </c>
      <c r="C78" s="25"/>
      <c r="D78" s="40"/>
      <c r="E78" s="25"/>
      <c r="F78" s="121"/>
      <c r="G78" s="25"/>
      <c r="H78" s="25"/>
      <c r="I78" s="25"/>
      <c r="J78" s="25"/>
      <c r="K78" s="25"/>
      <c r="L78" s="34">
        <f>10966+6</f>
        <v>10972</v>
      </c>
      <c r="M78" s="25"/>
      <c r="N78" s="52"/>
      <c r="O78" s="25"/>
      <c r="P78" s="5"/>
    </row>
    <row r="79" spans="1:16" ht="15.6" x14ac:dyDescent="0.3">
      <c r="A79" s="24"/>
      <c r="B79" s="25" t="s">
        <v>176</v>
      </c>
      <c r="C79" s="25"/>
      <c r="D79" s="40"/>
      <c r="E79" s="25"/>
      <c r="F79" s="121"/>
      <c r="G79" s="25"/>
      <c r="H79" s="25"/>
      <c r="I79" s="25"/>
      <c r="J79" s="25"/>
      <c r="K79" s="25"/>
      <c r="L79" s="34"/>
      <c r="M79" s="25"/>
      <c r="N79" s="52">
        <f>4170+173+1560-4602-80-689</f>
        <v>532</v>
      </c>
      <c r="O79" s="25"/>
      <c r="P79" s="5"/>
    </row>
    <row r="80" spans="1:16" ht="15.6" x14ac:dyDescent="0.3">
      <c r="A80" s="24"/>
      <c r="B80" s="25" t="s">
        <v>174</v>
      </c>
      <c r="C80" s="25"/>
      <c r="D80" s="40"/>
      <c r="E80" s="25"/>
      <c r="F80" s="121"/>
      <c r="G80" s="25"/>
      <c r="H80" s="25"/>
      <c r="I80" s="25"/>
      <c r="J80" s="25"/>
      <c r="K80" s="25"/>
      <c r="L80" s="34"/>
      <c r="M80" s="25"/>
      <c r="N80" s="52">
        <f>114+48</f>
        <v>162</v>
      </c>
      <c r="O80" s="25"/>
      <c r="P80" s="5"/>
    </row>
    <row r="81" spans="1:17" ht="15.6" x14ac:dyDescent="0.3">
      <c r="A81" s="24"/>
      <c r="B81" s="25" t="s">
        <v>175</v>
      </c>
      <c r="C81" s="25"/>
      <c r="D81" s="40"/>
      <c r="E81" s="25"/>
      <c r="F81" s="121"/>
      <c r="G81" s="25"/>
      <c r="H81" s="25"/>
      <c r="I81" s="25"/>
      <c r="J81" s="25"/>
      <c r="K81" s="25"/>
      <c r="L81" s="34"/>
      <c r="M81" s="25"/>
      <c r="N81" s="52">
        <v>21</v>
      </c>
      <c r="O81" s="25"/>
      <c r="P81" s="5"/>
    </row>
    <row r="82" spans="1:17" ht="15.6" x14ac:dyDescent="0.3">
      <c r="A82" s="24"/>
      <c r="B82" s="25" t="s">
        <v>131</v>
      </c>
      <c r="C82" s="25"/>
      <c r="D82" s="25"/>
      <c r="E82" s="25"/>
      <c r="F82" s="25"/>
      <c r="G82" s="25"/>
      <c r="H82" s="25"/>
      <c r="I82" s="25"/>
      <c r="J82" s="25"/>
      <c r="K82" s="25"/>
      <c r="L82" s="34"/>
      <c r="M82" s="25"/>
      <c r="N82" s="52">
        <v>0</v>
      </c>
      <c r="O82" s="25"/>
      <c r="P82" s="5"/>
    </row>
    <row r="83" spans="1:17" ht="15.6" x14ac:dyDescent="0.3">
      <c r="A83" s="24"/>
      <c r="B83" s="25" t="s">
        <v>211</v>
      </c>
      <c r="C83" s="25"/>
      <c r="D83" s="25"/>
      <c r="E83" s="25"/>
      <c r="F83" s="25"/>
      <c r="G83" s="25"/>
      <c r="H83" s="25"/>
      <c r="I83" s="25"/>
      <c r="J83" s="25"/>
      <c r="K83" s="25"/>
      <c r="L83" s="34"/>
      <c r="M83" s="25"/>
      <c r="N83" s="52">
        <v>0</v>
      </c>
      <c r="O83" s="25"/>
      <c r="P83" s="5"/>
    </row>
    <row r="84" spans="1:17" ht="15.6" x14ac:dyDescent="0.3">
      <c r="A84" s="24"/>
      <c r="B84" s="25" t="s">
        <v>28</v>
      </c>
      <c r="C84" s="25"/>
      <c r="D84" s="25"/>
      <c r="E84" s="25"/>
      <c r="F84" s="25"/>
      <c r="G84" s="25"/>
      <c r="H84" s="25"/>
      <c r="I84" s="25"/>
      <c r="J84" s="25"/>
      <c r="K84" s="25"/>
      <c r="L84" s="34">
        <f>SUM(L77:L83)</f>
        <v>10972</v>
      </c>
      <c r="M84" s="25"/>
      <c r="N84" s="53">
        <f>SUM(N77:N83)</f>
        <v>715</v>
      </c>
      <c r="O84" s="25"/>
      <c r="P84" s="5"/>
    </row>
    <row r="85" spans="1:17" ht="15.6" x14ac:dyDescent="0.3">
      <c r="A85" s="24"/>
      <c r="B85" s="25" t="s">
        <v>148</v>
      </c>
      <c r="C85" s="25"/>
      <c r="D85" s="25"/>
      <c r="E85" s="25"/>
      <c r="F85" s="25"/>
      <c r="G85" s="25"/>
      <c r="H85" s="25"/>
      <c r="I85" s="25"/>
      <c r="J85" s="25"/>
      <c r="K85" s="25"/>
      <c r="L85" s="34">
        <v>-1574</v>
      </c>
      <c r="M85" s="25"/>
      <c r="N85" s="53">
        <f>-L85</f>
        <v>1574</v>
      </c>
      <c r="O85" s="25"/>
      <c r="P85" s="5"/>
    </row>
    <row r="86" spans="1:17" ht="15.6" x14ac:dyDescent="0.3">
      <c r="A86" s="24"/>
      <c r="B86" s="25" t="s">
        <v>29</v>
      </c>
      <c r="C86" s="25"/>
      <c r="D86" s="25"/>
      <c r="E86" s="25"/>
      <c r="F86" s="25"/>
      <c r="G86" s="25"/>
      <c r="H86" s="25"/>
      <c r="I86" s="25"/>
      <c r="J86" s="25"/>
      <c r="K86" s="25"/>
      <c r="L86" s="34">
        <f>-N86</f>
        <v>0</v>
      </c>
      <c r="M86" s="25"/>
      <c r="N86" s="52">
        <v>0</v>
      </c>
      <c r="O86" s="25"/>
      <c r="P86" s="5"/>
    </row>
    <row r="87" spans="1:17" ht="15.6" x14ac:dyDescent="0.3">
      <c r="A87" s="24"/>
      <c r="B87" s="25" t="s">
        <v>244</v>
      </c>
      <c r="C87" s="25"/>
      <c r="D87" s="25"/>
      <c r="E87" s="25"/>
      <c r="F87" s="25"/>
      <c r="G87" s="25"/>
      <c r="H87" s="25"/>
      <c r="I87" s="25"/>
      <c r="J87" s="25"/>
      <c r="K87" s="25"/>
      <c r="L87" s="34"/>
      <c r="M87" s="25"/>
      <c r="N87" s="52">
        <v>0</v>
      </c>
      <c r="O87" s="25"/>
      <c r="P87" s="5"/>
    </row>
    <row r="88" spans="1:17" ht="15.6" x14ac:dyDescent="0.3">
      <c r="A88" s="24"/>
      <c r="B88" s="25" t="s">
        <v>30</v>
      </c>
      <c r="C88" s="25"/>
      <c r="D88" s="25"/>
      <c r="E88" s="25"/>
      <c r="F88" s="25"/>
      <c r="G88" s="25"/>
      <c r="H88" s="25"/>
      <c r="I88" s="25"/>
      <c r="J88" s="25"/>
      <c r="K88" s="25"/>
      <c r="L88" s="34">
        <f>L84+L86+L85</f>
        <v>9398</v>
      </c>
      <c r="M88" s="25"/>
      <c r="N88" s="53">
        <f>N84+N86+N85+N87</f>
        <v>2289</v>
      </c>
      <c r="O88" s="25"/>
      <c r="P88" s="5"/>
    </row>
    <row r="89" spans="1:17" ht="15.6" x14ac:dyDescent="0.3">
      <c r="A89" s="24"/>
      <c r="B89" s="113" t="s">
        <v>31</v>
      </c>
      <c r="C89" s="25"/>
      <c r="D89" s="25"/>
      <c r="E89" s="25"/>
      <c r="F89" s="25"/>
      <c r="G89" s="25"/>
      <c r="H89" s="25"/>
      <c r="I89" s="25"/>
      <c r="J89" s="25"/>
      <c r="K89" s="25"/>
      <c r="L89" s="34"/>
      <c r="M89" s="25"/>
      <c r="N89" s="52"/>
      <c r="O89" s="25"/>
      <c r="P89" s="5"/>
    </row>
    <row r="90" spans="1:17" ht="15.6" x14ac:dyDescent="0.3">
      <c r="A90" s="24">
        <v>1</v>
      </c>
      <c r="B90" s="25" t="s">
        <v>32</v>
      </c>
      <c r="C90" s="25"/>
      <c r="D90" s="25"/>
      <c r="E90" s="25"/>
      <c r="F90" s="25"/>
      <c r="G90" s="25"/>
      <c r="H90" s="25"/>
      <c r="I90" s="25"/>
      <c r="J90" s="25"/>
      <c r="K90" s="25"/>
      <c r="L90" s="25"/>
      <c r="M90" s="25"/>
      <c r="N90" s="52">
        <v>0</v>
      </c>
      <c r="O90" s="25"/>
      <c r="P90" s="5"/>
    </row>
    <row r="91" spans="1:17" ht="15.6" x14ac:dyDescent="0.3">
      <c r="A91" s="24">
        <f>+A90+1</f>
        <v>2</v>
      </c>
      <c r="B91" s="25" t="s">
        <v>224</v>
      </c>
      <c r="C91" s="25"/>
      <c r="D91" s="25"/>
      <c r="E91" s="25"/>
      <c r="F91" s="25"/>
      <c r="G91" s="25"/>
      <c r="H91" s="25"/>
      <c r="I91" s="25"/>
      <c r="J91" s="25"/>
      <c r="K91" s="25"/>
      <c r="L91" s="25"/>
      <c r="M91" s="25"/>
      <c r="N91" s="52">
        <v>-2</v>
      </c>
      <c r="O91" s="25"/>
      <c r="P91" s="5"/>
    </row>
    <row r="92" spans="1:17" ht="15.6" x14ac:dyDescent="0.3">
      <c r="A92" s="24">
        <f>+A91+1</f>
        <v>3</v>
      </c>
      <c r="B92" s="25" t="s">
        <v>235</v>
      </c>
      <c r="C92" s="25"/>
      <c r="D92" s="25"/>
      <c r="E92" s="25"/>
      <c r="F92" s="25"/>
      <c r="G92" s="25"/>
      <c r="H92" s="25"/>
      <c r="I92" s="25"/>
      <c r="J92" s="25"/>
      <c r="K92" s="25"/>
      <c r="L92" s="25"/>
      <c r="M92" s="25"/>
      <c r="N92" s="52">
        <f>-55-2-12-2</f>
        <v>-71</v>
      </c>
      <c r="O92" s="25"/>
      <c r="P92" s="5"/>
    </row>
    <row r="93" spans="1:17" ht="15.6" x14ac:dyDescent="0.3">
      <c r="A93" s="24" t="s">
        <v>123</v>
      </c>
      <c r="B93" s="25" t="s">
        <v>116</v>
      </c>
      <c r="C93" s="25"/>
      <c r="D93" s="25"/>
      <c r="E93" s="25"/>
      <c r="F93" s="25"/>
      <c r="G93" s="25"/>
      <c r="H93" s="25"/>
      <c r="I93" s="25"/>
      <c r="J93" s="25"/>
      <c r="K93" s="25"/>
      <c r="L93" s="25"/>
      <c r="M93" s="25"/>
      <c r="N93" s="52">
        <v>0</v>
      </c>
      <c r="O93" s="25"/>
      <c r="P93" s="5"/>
    </row>
    <row r="94" spans="1:17" ht="15.6" x14ac:dyDescent="0.3">
      <c r="A94" s="24" t="s">
        <v>124</v>
      </c>
      <c r="B94" s="25" t="s">
        <v>214</v>
      </c>
      <c r="C94" s="25"/>
      <c r="D94" s="25"/>
      <c r="E94" s="25"/>
      <c r="F94" s="25"/>
      <c r="G94" s="25"/>
      <c r="H94" s="25"/>
      <c r="I94" s="25"/>
      <c r="J94" s="25"/>
      <c r="K94" s="25"/>
      <c r="L94" s="25"/>
      <c r="M94" s="25"/>
      <c r="N94" s="52">
        <v>-674</v>
      </c>
      <c r="O94" s="25"/>
      <c r="P94" s="5"/>
    </row>
    <row r="95" spans="1:17" ht="15.6" x14ac:dyDescent="0.3">
      <c r="A95" s="24" t="s">
        <v>140</v>
      </c>
      <c r="B95" s="25" t="s">
        <v>180</v>
      </c>
      <c r="C95" s="25"/>
      <c r="D95" s="25"/>
      <c r="E95" s="25"/>
      <c r="F95" s="25"/>
      <c r="G95" s="25"/>
      <c r="H95" s="25"/>
      <c r="I95" s="25"/>
      <c r="J95" s="25"/>
      <c r="K95" s="25"/>
      <c r="L95" s="25"/>
      <c r="M95" s="25"/>
      <c r="N95" s="52">
        <v>-1</v>
      </c>
      <c r="O95" s="25"/>
      <c r="P95" s="5"/>
    </row>
    <row r="96" spans="1:17" ht="15.6" x14ac:dyDescent="0.3">
      <c r="A96" s="24" t="s">
        <v>169</v>
      </c>
      <c r="B96" s="25" t="s">
        <v>215</v>
      </c>
      <c r="C96" s="25"/>
      <c r="D96" s="25"/>
      <c r="E96" s="25"/>
      <c r="F96" s="25"/>
      <c r="G96" s="25"/>
      <c r="H96" s="25"/>
      <c r="I96" s="25"/>
      <c r="J96" s="25"/>
      <c r="K96" s="25"/>
      <c r="L96" s="25"/>
      <c r="M96" s="25"/>
      <c r="N96" s="52">
        <v>-20</v>
      </c>
      <c r="O96" s="25"/>
      <c r="P96" s="5"/>
      <c r="Q96" s="104"/>
    </row>
    <row r="97" spans="1:17" ht="15.6" x14ac:dyDescent="0.3">
      <c r="A97" s="24" t="s">
        <v>170</v>
      </c>
      <c r="B97" s="25" t="s">
        <v>216</v>
      </c>
      <c r="C97" s="25"/>
      <c r="D97" s="25"/>
      <c r="E97" s="25"/>
      <c r="F97" s="25"/>
      <c r="G97" s="25"/>
      <c r="H97" s="25"/>
      <c r="I97" s="25"/>
      <c r="J97" s="25"/>
      <c r="K97" s="25"/>
      <c r="L97" s="25"/>
      <c r="M97" s="25"/>
      <c r="N97" s="52">
        <v>-21</v>
      </c>
      <c r="O97" s="25"/>
      <c r="P97" s="5"/>
      <c r="Q97" s="104"/>
    </row>
    <row r="98" spans="1:17" ht="15.6" x14ac:dyDescent="0.3">
      <c r="A98" s="24">
        <v>7</v>
      </c>
      <c r="B98" s="25" t="s">
        <v>33</v>
      </c>
      <c r="C98" s="25"/>
      <c r="D98" s="25"/>
      <c r="E98" s="25"/>
      <c r="F98" s="25"/>
      <c r="G98" s="25"/>
      <c r="H98" s="25"/>
      <c r="I98" s="25"/>
      <c r="J98" s="25"/>
      <c r="K98" s="25"/>
      <c r="L98" s="25"/>
      <c r="M98" s="25"/>
      <c r="N98" s="52">
        <v>-9</v>
      </c>
      <c r="O98" s="25"/>
      <c r="P98" s="5"/>
    </row>
    <row r="99" spans="1:17" ht="15.6" x14ac:dyDescent="0.3">
      <c r="A99" s="24">
        <f t="shared" ref="A99:A105" si="0">+A98+1</f>
        <v>8</v>
      </c>
      <c r="B99" s="25" t="s">
        <v>42</v>
      </c>
      <c r="C99" s="25"/>
      <c r="D99" s="25"/>
      <c r="E99" s="25"/>
      <c r="F99" s="25"/>
      <c r="G99" s="25"/>
      <c r="H99" s="25"/>
      <c r="I99" s="25"/>
      <c r="J99" s="25"/>
      <c r="K99" s="25"/>
      <c r="L99" s="34">
        <f>-N99</f>
        <v>-6</v>
      </c>
      <c r="M99" s="25"/>
      <c r="N99" s="52">
        <v>6</v>
      </c>
      <c r="O99" s="25"/>
      <c r="P99" s="5"/>
    </row>
    <row r="100" spans="1:17" ht="15.6" x14ac:dyDescent="0.3">
      <c r="A100" s="24">
        <f t="shared" si="0"/>
        <v>9</v>
      </c>
      <c r="B100" s="25" t="s">
        <v>121</v>
      </c>
      <c r="C100" s="25"/>
      <c r="D100" s="25"/>
      <c r="E100" s="25"/>
      <c r="F100" s="25"/>
      <c r="G100" s="25"/>
      <c r="H100" s="25"/>
      <c r="I100" s="25"/>
      <c r="J100" s="25"/>
      <c r="K100" s="25"/>
      <c r="L100" s="25"/>
      <c r="M100" s="25"/>
      <c r="N100" s="52">
        <v>0</v>
      </c>
      <c r="O100" s="25"/>
      <c r="P100" s="5"/>
    </row>
    <row r="101" spans="1:17" ht="15.6" x14ac:dyDescent="0.3">
      <c r="A101" s="24">
        <f t="shared" si="0"/>
        <v>10</v>
      </c>
      <c r="B101" s="25" t="s">
        <v>182</v>
      </c>
      <c r="C101" s="25"/>
      <c r="D101" s="25"/>
      <c r="E101" s="25"/>
      <c r="F101" s="25"/>
      <c r="G101" s="25"/>
      <c r="H101" s="25"/>
      <c r="I101" s="25"/>
      <c r="J101" s="25"/>
      <c r="K101" s="25"/>
      <c r="L101" s="25"/>
      <c r="M101" s="25"/>
      <c r="N101" s="52">
        <v>0</v>
      </c>
      <c r="O101" s="25"/>
      <c r="P101" s="5"/>
    </row>
    <row r="102" spans="1:17" ht="15.6" x14ac:dyDescent="0.3">
      <c r="A102" s="24">
        <f t="shared" si="0"/>
        <v>11</v>
      </c>
      <c r="B102" s="25" t="s">
        <v>34</v>
      </c>
      <c r="C102" s="25"/>
      <c r="D102" s="25"/>
      <c r="E102" s="25"/>
      <c r="F102" s="25"/>
      <c r="G102" s="25"/>
      <c r="H102" s="25"/>
      <c r="I102" s="25"/>
      <c r="J102" s="25"/>
      <c r="K102" s="25"/>
      <c r="L102" s="25"/>
      <c r="M102" s="25"/>
      <c r="N102" s="52">
        <v>0</v>
      </c>
      <c r="O102" s="25"/>
      <c r="P102" s="5"/>
    </row>
    <row r="103" spans="1:17" ht="15.6" x14ac:dyDescent="0.3">
      <c r="A103" s="24">
        <f t="shared" si="0"/>
        <v>12</v>
      </c>
      <c r="B103" s="25" t="s">
        <v>181</v>
      </c>
      <c r="C103" s="25"/>
      <c r="D103" s="25"/>
      <c r="E103" s="25"/>
      <c r="F103" s="25"/>
      <c r="G103" s="25"/>
      <c r="H103" s="25"/>
      <c r="I103" s="25"/>
      <c r="J103" s="25"/>
      <c r="K103" s="25"/>
      <c r="L103" s="25"/>
      <c r="M103" s="25"/>
      <c r="N103" s="52">
        <v>0</v>
      </c>
      <c r="O103" s="25"/>
      <c r="P103" s="5"/>
    </row>
    <row r="104" spans="1:17" ht="15.6" x14ac:dyDescent="0.3">
      <c r="A104" s="24">
        <f t="shared" si="0"/>
        <v>13</v>
      </c>
      <c r="B104" s="25" t="s">
        <v>139</v>
      </c>
      <c r="C104" s="25"/>
      <c r="D104" s="25"/>
      <c r="E104" s="25"/>
      <c r="F104" s="25"/>
      <c r="G104" s="25"/>
      <c r="H104" s="25"/>
      <c r="I104" s="25"/>
      <c r="J104" s="25"/>
      <c r="K104" s="25"/>
      <c r="L104" s="25"/>
      <c r="M104" s="25"/>
      <c r="N104" s="52">
        <v>-56</v>
      </c>
      <c r="O104" s="25"/>
      <c r="P104" s="5"/>
    </row>
    <row r="105" spans="1:17" ht="15.6" x14ac:dyDescent="0.3">
      <c r="A105" s="24">
        <f t="shared" si="0"/>
        <v>14</v>
      </c>
      <c r="B105" s="25" t="s">
        <v>122</v>
      </c>
      <c r="C105" s="25"/>
      <c r="D105" s="25"/>
      <c r="E105" s="25"/>
      <c r="F105" s="25"/>
      <c r="G105" s="25"/>
      <c r="H105" s="25"/>
      <c r="I105" s="25"/>
      <c r="J105" s="25"/>
      <c r="K105" s="25"/>
      <c r="L105" s="25"/>
      <c r="M105" s="25"/>
      <c r="N105" s="52">
        <f>-N88-SUM(N90:N104)</f>
        <v>-1441</v>
      </c>
      <c r="O105" s="25"/>
      <c r="P105" s="5"/>
    </row>
    <row r="106" spans="1:17" ht="15.6" x14ac:dyDescent="0.3">
      <c r="A106" s="24"/>
      <c r="B106" s="113" t="s">
        <v>35</v>
      </c>
      <c r="C106" s="25"/>
      <c r="D106" s="25"/>
      <c r="E106" s="25"/>
      <c r="F106" s="25"/>
      <c r="G106" s="25"/>
      <c r="H106" s="25"/>
      <c r="I106" s="25"/>
      <c r="J106" s="25"/>
      <c r="K106" s="25"/>
      <c r="L106" s="25"/>
      <c r="M106" s="25"/>
      <c r="N106" s="57"/>
      <c r="O106" s="25"/>
      <c r="P106" s="5"/>
    </row>
    <row r="107" spans="1:17" ht="15.6" x14ac:dyDescent="0.3">
      <c r="A107" s="24"/>
      <c r="B107" s="25" t="s">
        <v>160</v>
      </c>
      <c r="C107" s="25"/>
      <c r="D107" s="25"/>
      <c r="E107" s="25"/>
      <c r="F107" s="25"/>
      <c r="G107" s="25"/>
      <c r="H107" s="25"/>
      <c r="I107" s="25"/>
      <c r="J107" s="25"/>
      <c r="K107" s="25"/>
      <c r="L107" s="34">
        <v>0</v>
      </c>
      <c r="M107" s="34"/>
      <c r="N107" s="52"/>
      <c r="O107" s="25"/>
      <c r="P107" s="5"/>
    </row>
    <row r="108" spans="1:17" ht="15.6" x14ac:dyDescent="0.3">
      <c r="A108" s="24"/>
      <c r="B108" s="25" t="s">
        <v>161</v>
      </c>
      <c r="C108" s="25"/>
      <c r="D108" s="25"/>
      <c r="E108" s="25"/>
      <c r="F108" s="25"/>
      <c r="G108" s="25"/>
      <c r="H108" s="25"/>
      <c r="I108" s="25"/>
      <c r="J108" s="25"/>
      <c r="K108" s="25"/>
      <c r="L108" s="34">
        <v>-775</v>
      </c>
      <c r="M108" s="34"/>
      <c r="N108" s="52"/>
      <c r="O108" s="25"/>
      <c r="P108" s="5"/>
    </row>
    <row r="109" spans="1:17" ht="15.6" x14ac:dyDescent="0.3">
      <c r="A109" s="24"/>
      <c r="B109" s="25" t="s">
        <v>200</v>
      </c>
      <c r="C109" s="25"/>
      <c r="D109" s="25"/>
      <c r="E109" s="25"/>
      <c r="F109" s="25"/>
      <c r="G109" s="25"/>
      <c r="H109" s="25"/>
      <c r="I109" s="25"/>
      <c r="J109" s="25"/>
      <c r="K109" s="25"/>
      <c r="L109" s="34">
        <v>-8617</v>
      </c>
      <c r="M109" s="34"/>
      <c r="N109" s="52"/>
      <c r="O109" s="25"/>
      <c r="P109" s="5"/>
    </row>
    <row r="110" spans="1:17" ht="15.6" x14ac:dyDescent="0.3">
      <c r="A110" s="24"/>
      <c r="B110" s="25" t="s">
        <v>201</v>
      </c>
      <c r="C110" s="25"/>
      <c r="D110" s="25"/>
      <c r="E110" s="25"/>
      <c r="F110" s="25"/>
      <c r="G110" s="25"/>
      <c r="H110" s="25"/>
      <c r="I110" s="25"/>
      <c r="J110" s="25"/>
      <c r="K110" s="25"/>
      <c r="L110" s="34">
        <v>0</v>
      </c>
      <c r="M110" s="34"/>
      <c r="N110" s="52"/>
      <c r="O110" s="25"/>
      <c r="P110" s="5"/>
    </row>
    <row r="111" spans="1:17" ht="15.6" x14ac:dyDescent="0.3">
      <c r="A111" s="24"/>
      <c r="B111" s="25" t="s">
        <v>202</v>
      </c>
      <c r="C111" s="25"/>
      <c r="D111" s="25"/>
      <c r="E111" s="25"/>
      <c r="F111" s="25"/>
      <c r="G111" s="25"/>
      <c r="H111" s="25"/>
      <c r="I111" s="25"/>
      <c r="J111" s="25"/>
      <c r="K111" s="25"/>
      <c r="L111" s="34">
        <v>0</v>
      </c>
      <c r="M111" s="34"/>
      <c r="N111" s="52"/>
      <c r="O111" s="25"/>
      <c r="P111" s="5"/>
    </row>
    <row r="112" spans="1:17" ht="15.6" x14ac:dyDescent="0.3">
      <c r="A112" s="24"/>
      <c r="B112" s="25" t="s">
        <v>36</v>
      </c>
      <c r="C112" s="25"/>
      <c r="D112" s="25"/>
      <c r="E112" s="25"/>
      <c r="F112" s="25"/>
      <c r="G112" s="25"/>
      <c r="H112" s="25"/>
      <c r="I112" s="25"/>
      <c r="J112" s="25"/>
      <c r="K112" s="25"/>
      <c r="L112" s="34">
        <f>SUM(L107:L111)</f>
        <v>-9392</v>
      </c>
      <c r="M112" s="34"/>
      <c r="N112" s="34">
        <f>SUM(N89:N110)</f>
        <v>-2289</v>
      </c>
      <c r="O112" s="25"/>
      <c r="P112" s="5"/>
    </row>
    <row r="113" spans="1:17" ht="15.6" x14ac:dyDescent="0.3">
      <c r="A113" s="24"/>
      <c r="B113" s="25" t="s">
        <v>37</v>
      </c>
      <c r="C113" s="25"/>
      <c r="D113" s="25"/>
      <c r="E113" s="25"/>
      <c r="F113" s="25"/>
      <c r="G113" s="25"/>
      <c r="H113" s="25"/>
      <c r="I113" s="25"/>
      <c r="J113" s="25"/>
      <c r="K113" s="25"/>
      <c r="L113" s="34">
        <f>L88+L112+L99</f>
        <v>0</v>
      </c>
      <c r="M113" s="34"/>
      <c r="N113" s="34">
        <f>N88+N112</f>
        <v>0</v>
      </c>
      <c r="O113" s="25"/>
      <c r="P113" s="5"/>
    </row>
    <row r="114" spans="1:17" ht="15.6" x14ac:dyDescent="0.3">
      <c r="A114" s="24"/>
      <c r="B114" s="25"/>
      <c r="C114" s="25"/>
      <c r="D114" s="25"/>
      <c r="E114" s="25"/>
      <c r="F114" s="25"/>
      <c r="G114" s="25"/>
      <c r="H114" s="25"/>
      <c r="I114" s="25"/>
      <c r="J114" s="25"/>
      <c r="K114" s="25"/>
      <c r="L114" s="34"/>
      <c r="M114" s="34"/>
      <c r="N114" s="34"/>
      <c r="O114" s="25"/>
      <c r="P114" s="5"/>
    </row>
    <row r="115" spans="1:17" ht="15.6" x14ac:dyDescent="0.3">
      <c r="A115" s="6"/>
      <c r="B115" s="8"/>
      <c r="C115" s="8"/>
      <c r="D115" s="8"/>
      <c r="E115" s="8"/>
      <c r="F115" s="8"/>
      <c r="G115" s="8"/>
      <c r="H115" s="8"/>
      <c r="I115" s="8"/>
      <c r="J115" s="8"/>
      <c r="K115" s="8"/>
      <c r="L115" s="8"/>
      <c r="M115" s="8"/>
      <c r="N115" s="51"/>
      <c r="O115" s="8"/>
      <c r="P115" s="5"/>
    </row>
    <row r="116" spans="1:17" ht="18" thickBot="1" x14ac:dyDescent="0.35">
      <c r="A116" s="96"/>
      <c r="B116" s="97" t="str">
        <f>B52</f>
        <v>FF7 INVESTOR REPORT QUARTER ENDING MAY 2009</v>
      </c>
      <c r="C116" s="98"/>
      <c r="D116" s="98"/>
      <c r="E116" s="98"/>
      <c r="F116" s="98"/>
      <c r="G116" s="98"/>
      <c r="H116" s="98"/>
      <c r="I116" s="98"/>
      <c r="J116" s="98"/>
      <c r="K116" s="98"/>
      <c r="L116" s="98"/>
      <c r="M116" s="98"/>
      <c r="N116" s="101"/>
      <c r="O116" s="100"/>
      <c r="P116" s="5"/>
    </row>
    <row r="117" spans="1:17" ht="15.6" x14ac:dyDescent="0.3">
      <c r="A117" s="2"/>
      <c r="B117" s="58" t="s">
        <v>38</v>
      </c>
      <c r="C117" s="4"/>
      <c r="D117" s="4"/>
      <c r="E117" s="4"/>
      <c r="F117" s="4"/>
      <c r="G117" s="4"/>
      <c r="H117" s="4"/>
      <c r="I117" s="4"/>
      <c r="J117" s="4"/>
      <c r="K117" s="4"/>
      <c r="L117" s="4"/>
      <c r="M117" s="4"/>
      <c r="N117" s="49"/>
      <c r="O117" s="4"/>
      <c r="P117" s="5"/>
    </row>
    <row r="118" spans="1:17" ht="15.6" x14ac:dyDescent="0.3">
      <c r="A118" s="6"/>
      <c r="B118" s="21"/>
      <c r="C118" s="8"/>
      <c r="D118" s="8"/>
      <c r="E118" s="8"/>
      <c r="F118" s="8"/>
      <c r="G118" s="8"/>
      <c r="H118" s="8"/>
      <c r="I118" s="8"/>
      <c r="J118" s="8"/>
      <c r="K118" s="8"/>
      <c r="L118" s="8"/>
      <c r="M118" s="8"/>
      <c r="N118" s="51"/>
      <c r="O118" s="8"/>
      <c r="P118" s="5"/>
    </row>
    <row r="119" spans="1:17" ht="15.6" x14ac:dyDescent="0.3">
      <c r="A119" s="6"/>
      <c r="B119" s="114" t="s">
        <v>39</v>
      </c>
      <c r="C119" s="8"/>
      <c r="D119" s="8"/>
      <c r="E119" s="8"/>
      <c r="F119" s="8"/>
      <c r="G119" s="8"/>
      <c r="H119" s="8"/>
      <c r="I119" s="8"/>
      <c r="J119" s="8"/>
      <c r="K119" s="8"/>
      <c r="L119" s="8"/>
      <c r="M119" s="8"/>
      <c r="N119" s="51"/>
      <c r="O119" s="8"/>
      <c r="P119" s="5"/>
    </row>
    <row r="120" spans="1:17" ht="15.6" x14ac:dyDescent="0.3">
      <c r="A120" s="24"/>
      <c r="B120" s="25" t="s">
        <v>40</v>
      </c>
      <c r="C120" s="25"/>
      <c r="D120" s="25"/>
      <c r="E120" s="25"/>
      <c r="F120" s="25"/>
      <c r="G120" s="25"/>
      <c r="H120" s="25"/>
      <c r="I120" s="25"/>
      <c r="J120" s="25"/>
      <c r="K120" s="25"/>
      <c r="L120" s="25"/>
      <c r="M120" s="25"/>
      <c r="N120" s="52">
        <f>N28*0.003</f>
        <v>805.80000000000007</v>
      </c>
      <c r="O120" s="25"/>
      <c r="P120" s="5"/>
    </row>
    <row r="121" spans="1:17" ht="15.6" x14ac:dyDescent="0.3">
      <c r="A121" s="24"/>
      <c r="B121" s="25" t="s">
        <v>41</v>
      </c>
      <c r="C121" s="25"/>
      <c r="D121" s="25"/>
      <c r="E121" s="25"/>
      <c r="F121" s="25"/>
      <c r="G121" s="25"/>
      <c r="H121" s="25"/>
      <c r="I121" s="25"/>
      <c r="J121" s="25"/>
      <c r="K121" s="25"/>
      <c r="L121" s="25"/>
      <c r="M121" s="25"/>
      <c r="N121" s="52">
        <v>806</v>
      </c>
      <c r="O121" s="25"/>
      <c r="P121" s="5"/>
    </row>
    <row r="122" spans="1:17" ht="15.6" x14ac:dyDescent="0.3">
      <c r="A122" s="24"/>
      <c r="B122" s="25" t="s">
        <v>132</v>
      </c>
      <c r="C122" s="25"/>
      <c r="D122" s="25"/>
      <c r="E122" s="25"/>
      <c r="F122" s="25"/>
      <c r="G122" s="25"/>
      <c r="H122" s="25"/>
      <c r="I122" s="25"/>
      <c r="J122" s="25"/>
      <c r="K122" s="25"/>
      <c r="L122" s="25"/>
      <c r="M122" s="25"/>
      <c r="N122" s="52">
        <v>0</v>
      </c>
      <c r="O122" s="25"/>
      <c r="P122" s="5"/>
    </row>
    <row r="123" spans="1:17" ht="15.6" x14ac:dyDescent="0.3">
      <c r="A123" s="24"/>
      <c r="B123" s="25" t="s">
        <v>221</v>
      </c>
      <c r="C123" s="25"/>
      <c r="D123" s="25"/>
      <c r="E123" s="25"/>
      <c r="F123" s="25"/>
      <c r="G123" s="25"/>
      <c r="H123" s="25"/>
      <c r="I123" s="25"/>
      <c r="J123" s="25"/>
      <c r="K123" s="25"/>
      <c r="L123" s="25"/>
      <c r="M123" s="25"/>
      <c r="N123" s="52">
        <v>0</v>
      </c>
      <c r="O123" s="25"/>
      <c r="P123" s="5"/>
    </row>
    <row r="124" spans="1:17" ht="15.6" x14ac:dyDescent="0.3">
      <c r="A124" s="24"/>
      <c r="B124" s="25" t="s">
        <v>222</v>
      </c>
      <c r="C124" s="25"/>
      <c r="D124" s="25"/>
      <c r="E124" s="25"/>
      <c r="F124" s="25"/>
      <c r="G124" s="25"/>
      <c r="H124" s="25"/>
      <c r="I124" s="25"/>
      <c r="J124" s="25"/>
      <c r="K124" s="25"/>
      <c r="L124" s="25"/>
      <c r="M124" s="25"/>
      <c r="N124" s="52">
        <v>0</v>
      </c>
      <c r="O124" s="25"/>
      <c r="P124" s="5"/>
    </row>
    <row r="125" spans="1:17" ht="15.6" x14ac:dyDescent="0.3">
      <c r="A125" s="24"/>
      <c r="B125" s="25" t="s">
        <v>223</v>
      </c>
      <c r="C125" s="25"/>
      <c r="D125" s="25"/>
      <c r="E125" s="25"/>
      <c r="F125" s="25"/>
      <c r="G125" s="25"/>
      <c r="H125" s="25"/>
      <c r="I125" s="25"/>
      <c r="J125" s="25"/>
      <c r="K125" s="25"/>
      <c r="L125" s="25"/>
      <c r="M125" s="25"/>
      <c r="N125" s="52">
        <v>0</v>
      </c>
      <c r="O125" s="25"/>
      <c r="P125" s="5"/>
    </row>
    <row r="126" spans="1:17" ht="15.6" x14ac:dyDescent="0.3">
      <c r="A126" s="24"/>
      <c r="B126" s="25" t="s">
        <v>42</v>
      </c>
      <c r="C126" s="25"/>
      <c r="D126" s="25"/>
      <c r="E126" s="25"/>
      <c r="F126" s="25"/>
      <c r="G126" s="25"/>
      <c r="H126" s="25"/>
      <c r="I126" s="25"/>
      <c r="J126" s="25"/>
      <c r="K126" s="25"/>
      <c r="L126" s="25"/>
      <c r="M126" s="25"/>
      <c r="N126" s="52">
        <v>0</v>
      </c>
      <c r="O126" s="25"/>
      <c r="P126" s="5"/>
    </row>
    <row r="127" spans="1:17" ht="15.6" x14ac:dyDescent="0.3">
      <c r="A127" s="24"/>
      <c r="B127" s="25" t="s">
        <v>125</v>
      </c>
      <c r="C127" s="25"/>
      <c r="D127" s="25"/>
      <c r="E127" s="25"/>
      <c r="F127" s="25"/>
      <c r="G127" s="25"/>
      <c r="H127" s="25"/>
      <c r="I127" s="25"/>
      <c r="J127" s="25"/>
      <c r="K127" s="25"/>
      <c r="L127" s="25"/>
      <c r="M127" s="25"/>
      <c r="N127" s="52">
        <v>0</v>
      </c>
      <c r="O127" s="25"/>
      <c r="P127" s="5"/>
    </row>
    <row r="128" spans="1:17" ht="15.6" x14ac:dyDescent="0.3">
      <c r="A128" s="24"/>
      <c r="B128" s="25" t="s">
        <v>225</v>
      </c>
      <c r="C128" s="25"/>
      <c r="D128" s="25"/>
      <c r="E128" s="25"/>
      <c r="F128" s="25"/>
      <c r="G128" s="25"/>
      <c r="H128" s="25"/>
      <c r="I128" s="25"/>
      <c r="J128" s="25"/>
      <c r="K128" s="25"/>
      <c r="L128" s="25"/>
      <c r="M128" s="25"/>
      <c r="N128" s="52">
        <v>0</v>
      </c>
      <c r="O128" s="25"/>
      <c r="P128" s="5"/>
      <c r="Q128" s="104"/>
    </row>
    <row r="129" spans="1:16" ht="15.6" x14ac:dyDescent="0.3">
      <c r="A129" s="24"/>
      <c r="B129" s="25" t="s">
        <v>43</v>
      </c>
      <c r="C129" s="25"/>
      <c r="D129" s="25"/>
      <c r="E129" s="25"/>
      <c r="F129" s="25"/>
      <c r="G129" s="25"/>
      <c r="H129" s="25"/>
      <c r="I129" s="25"/>
      <c r="J129" s="25"/>
      <c r="K129" s="25"/>
      <c r="L129" s="25"/>
      <c r="M129" s="25"/>
      <c r="N129" s="52">
        <f>SUM(N121:N128)</f>
        <v>806</v>
      </c>
      <c r="O129" s="25"/>
      <c r="P129" s="5"/>
    </row>
    <row r="130" spans="1:16" ht="15.6" x14ac:dyDescent="0.3">
      <c r="A130" s="24"/>
      <c r="B130" s="25"/>
      <c r="C130" s="25"/>
      <c r="D130" s="25"/>
      <c r="E130" s="25"/>
      <c r="F130" s="25"/>
      <c r="G130" s="25"/>
      <c r="H130" s="25"/>
      <c r="I130" s="25"/>
      <c r="J130" s="25"/>
      <c r="K130" s="25"/>
      <c r="L130" s="25"/>
      <c r="M130" s="25"/>
      <c r="N130" s="52"/>
      <c r="O130" s="25"/>
      <c r="P130" s="5"/>
    </row>
    <row r="131" spans="1:16" ht="15.6" x14ac:dyDescent="0.3">
      <c r="A131" s="24"/>
      <c r="B131" s="130" t="s">
        <v>179</v>
      </c>
      <c r="C131" s="25"/>
      <c r="D131" s="25"/>
      <c r="E131" s="25"/>
      <c r="F131" s="25"/>
      <c r="G131" s="25"/>
      <c r="H131" s="25"/>
      <c r="I131" s="25"/>
      <c r="J131" s="25"/>
      <c r="K131" s="25"/>
      <c r="L131" s="25"/>
      <c r="M131" s="25"/>
      <c r="N131" s="52"/>
      <c r="O131" s="25"/>
      <c r="P131" s="5"/>
    </row>
    <row r="132" spans="1:16" ht="15.6" x14ac:dyDescent="0.3">
      <c r="A132" s="24"/>
      <c r="B132" s="25" t="s">
        <v>144</v>
      </c>
      <c r="C132" s="25"/>
      <c r="D132" s="25"/>
      <c r="E132" s="25"/>
      <c r="F132" s="25"/>
      <c r="G132" s="25"/>
      <c r="H132" s="25"/>
      <c r="I132" s="25"/>
      <c r="J132" s="25"/>
      <c r="K132" s="25"/>
      <c r="L132" s="25"/>
      <c r="M132" s="25"/>
      <c r="N132" s="52">
        <v>7098</v>
      </c>
      <c r="O132" s="25"/>
      <c r="P132" s="5"/>
    </row>
    <row r="133" spans="1:16" ht="15.6" x14ac:dyDescent="0.3">
      <c r="A133" s="24"/>
      <c r="B133" s="25" t="s">
        <v>159</v>
      </c>
      <c r="C133" s="25"/>
      <c r="D133" s="25"/>
      <c r="E133" s="25"/>
      <c r="F133" s="25"/>
      <c r="G133" s="25"/>
      <c r="H133" s="25"/>
      <c r="I133" s="25"/>
      <c r="J133" s="25"/>
      <c r="K133" s="25"/>
      <c r="L133" s="25"/>
      <c r="M133" s="25"/>
      <c r="N133" s="52">
        <v>0</v>
      </c>
      <c r="O133" s="25"/>
      <c r="P133" s="5"/>
    </row>
    <row r="134" spans="1:16" ht="15.6" x14ac:dyDescent="0.3">
      <c r="A134" s="24"/>
      <c r="B134" s="25" t="s">
        <v>183</v>
      </c>
      <c r="C134" s="25"/>
      <c r="D134" s="25"/>
      <c r="E134" s="25"/>
      <c r="F134" s="25"/>
      <c r="G134" s="25"/>
      <c r="H134" s="25"/>
      <c r="I134" s="25"/>
      <c r="J134" s="25"/>
      <c r="K134" s="25"/>
      <c r="L134" s="25"/>
      <c r="M134" s="25"/>
      <c r="N134" s="52">
        <v>3672</v>
      </c>
      <c r="O134" s="25"/>
      <c r="P134" s="5"/>
    </row>
    <row r="135" spans="1:16" ht="15.6" x14ac:dyDescent="0.3">
      <c r="A135" s="24"/>
      <c r="B135" s="25"/>
      <c r="C135" s="25"/>
      <c r="D135" s="25"/>
      <c r="E135" s="25"/>
      <c r="F135" s="25"/>
      <c r="G135" s="25"/>
      <c r="H135" s="25"/>
      <c r="I135" s="25"/>
      <c r="J135" s="25"/>
      <c r="K135" s="25"/>
      <c r="L135" s="25"/>
      <c r="M135" s="25"/>
      <c r="N135" s="52"/>
      <c r="O135" s="25"/>
      <c r="P135" s="5"/>
    </row>
    <row r="136" spans="1:16" ht="15.6" x14ac:dyDescent="0.3">
      <c r="A136" s="24"/>
      <c r="B136" s="25"/>
      <c r="C136" s="25"/>
      <c r="D136" s="25"/>
      <c r="E136" s="25"/>
      <c r="F136" s="25"/>
      <c r="G136" s="25"/>
      <c r="H136" s="25"/>
      <c r="I136" s="25"/>
      <c r="J136" s="25"/>
      <c r="K136" s="25"/>
      <c r="L136" s="25"/>
      <c r="M136" s="25"/>
      <c r="N136" s="59"/>
      <c r="O136" s="25"/>
      <c r="P136" s="5"/>
    </row>
    <row r="137" spans="1:16" ht="15.6" x14ac:dyDescent="0.3">
      <c r="A137" s="6"/>
      <c r="B137" s="114" t="s">
        <v>22</v>
      </c>
      <c r="C137" s="8"/>
      <c r="D137" s="8"/>
      <c r="E137" s="8"/>
      <c r="F137" s="8"/>
      <c r="G137" s="8"/>
      <c r="H137" s="8"/>
      <c r="I137" s="8"/>
      <c r="J137" s="8"/>
      <c r="K137" s="8"/>
      <c r="L137" s="8"/>
      <c r="M137" s="8"/>
      <c r="N137" s="51"/>
      <c r="O137" s="8"/>
      <c r="P137" s="5"/>
    </row>
    <row r="138" spans="1:16" ht="15.6" x14ac:dyDescent="0.3">
      <c r="A138" s="24"/>
      <c r="B138" s="25" t="s">
        <v>44</v>
      </c>
      <c r="C138" s="25"/>
      <c r="D138" s="25"/>
      <c r="E138" s="25"/>
      <c r="F138" s="25"/>
      <c r="G138" s="25"/>
      <c r="H138" s="25"/>
      <c r="I138" s="25"/>
      <c r="J138" s="25"/>
      <c r="K138" s="25"/>
      <c r="L138" s="25"/>
      <c r="M138" s="25"/>
      <c r="N138" s="57" t="s">
        <v>117</v>
      </c>
      <c r="O138" s="25"/>
      <c r="P138" s="5"/>
    </row>
    <row r="139" spans="1:16" ht="15.6" x14ac:dyDescent="0.3">
      <c r="A139" s="24"/>
      <c r="B139" s="25" t="s">
        <v>45</v>
      </c>
      <c r="C139" s="175"/>
      <c r="D139" s="175"/>
      <c r="E139" s="175"/>
      <c r="F139" s="175"/>
      <c r="G139" s="175"/>
      <c r="H139" s="175"/>
      <c r="I139" s="175"/>
      <c r="J139" s="175"/>
      <c r="K139" s="175"/>
      <c r="L139" s="175"/>
      <c r="M139" s="175"/>
      <c r="N139" s="57" t="s">
        <v>117</v>
      </c>
      <c r="O139" s="25"/>
      <c r="P139" s="5"/>
    </row>
    <row r="140" spans="1:16" ht="15.6" x14ac:dyDescent="0.3">
      <c r="A140" s="24"/>
      <c r="B140" s="25" t="s">
        <v>46</v>
      </c>
      <c r="C140" s="25"/>
      <c r="D140" s="25"/>
      <c r="E140" s="25"/>
      <c r="F140" s="25"/>
      <c r="G140" s="25"/>
      <c r="H140" s="25"/>
      <c r="I140" s="25"/>
      <c r="J140" s="25"/>
      <c r="K140" s="25"/>
      <c r="L140" s="25"/>
      <c r="M140" s="25"/>
      <c r="N140" s="57" t="s">
        <v>117</v>
      </c>
      <c r="O140" s="25"/>
      <c r="P140" s="5"/>
    </row>
    <row r="141" spans="1:16" ht="15.6" x14ac:dyDescent="0.3">
      <c r="A141" s="24"/>
      <c r="B141" s="25" t="s">
        <v>47</v>
      </c>
      <c r="C141" s="25"/>
      <c r="D141" s="25"/>
      <c r="E141" s="25"/>
      <c r="F141" s="25"/>
      <c r="G141" s="25"/>
      <c r="H141" s="25"/>
      <c r="I141" s="25"/>
      <c r="J141" s="25"/>
      <c r="K141" s="25"/>
      <c r="L141" s="25"/>
      <c r="M141" s="25"/>
      <c r="N141" s="57" t="s">
        <v>117</v>
      </c>
      <c r="O141" s="25"/>
      <c r="P141" s="5"/>
    </row>
    <row r="142" spans="1:16" ht="15.6" x14ac:dyDescent="0.3">
      <c r="A142" s="24"/>
      <c r="B142" s="25"/>
      <c r="C142" s="25"/>
      <c r="D142" s="25"/>
      <c r="E142" s="25"/>
      <c r="F142" s="25"/>
      <c r="G142" s="25"/>
      <c r="H142" s="25"/>
      <c r="I142" s="25"/>
      <c r="J142" s="25"/>
      <c r="K142" s="25"/>
      <c r="L142" s="25"/>
      <c r="M142" s="25"/>
      <c r="N142" s="59"/>
      <c r="O142" s="25"/>
      <c r="P142" s="5"/>
    </row>
    <row r="143" spans="1:16" ht="15.6" x14ac:dyDescent="0.3">
      <c r="A143" s="6"/>
      <c r="B143" s="114" t="s">
        <v>48</v>
      </c>
      <c r="C143" s="8"/>
      <c r="D143" s="8"/>
      <c r="E143" s="8"/>
      <c r="F143" s="8"/>
      <c r="G143" s="8"/>
      <c r="H143" s="8"/>
      <c r="I143" s="8"/>
      <c r="J143" s="8"/>
      <c r="K143" s="8"/>
      <c r="L143" s="8"/>
      <c r="M143" s="8"/>
      <c r="N143" s="61"/>
      <c r="O143" s="8"/>
      <c r="P143" s="5"/>
    </row>
    <row r="144" spans="1:16" ht="15.6" x14ac:dyDescent="0.3">
      <c r="A144" s="24"/>
      <c r="B144" s="25" t="s">
        <v>49</v>
      </c>
      <c r="C144" s="25"/>
      <c r="D144" s="25"/>
      <c r="E144" s="25"/>
      <c r="F144" s="25"/>
      <c r="G144" s="25"/>
      <c r="H144" s="25"/>
      <c r="I144" s="25"/>
      <c r="J144" s="25"/>
      <c r="K144" s="25"/>
      <c r="L144" s="25"/>
      <c r="M144" s="25"/>
      <c r="N144" s="52">
        <v>0</v>
      </c>
      <c r="O144" s="25"/>
      <c r="P144" s="5"/>
    </row>
    <row r="145" spans="1:256" ht="15.6" x14ac:dyDescent="0.3">
      <c r="A145" s="24"/>
      <c r="B145" s="25" t="s">
        <v>50</v>
      </c>
      <c r="C145" s="25"/>
      <c r="D145" s="25"/>
      <c r="E145" s="25"/>
      <c r="F145" s="25"/>
      <c r="G145" s="25"/>
      <c r="H145" s="25"/>
      <c r="I145" s="25"/>
      <c r="J145" s="25"/>
      <c r="K145" s="25"/>
      <c r="L145" s="25"/>
      <c r="M145" s="25"/>
      <c r="N145" s="52">
        <f>L99</f>
        <v>-6</v>
      </c>
      <c r="O145" s="25"/>
      <c r="P145" s="5"/>
    </row>
    <row r="146" spans="1:256" ht="15.6" x14ac:dyDescent="0.3">
      <c r="A146" s="24"/>
      <c r="B146" s="25" t="s">
        <v>51</v>
      </c>
      <c r="C146" s="25"/>
      <c r="D146" s="25"/>
      <c r="E146" s="25"/>
      <c r="F146" s="25"/>
      <c r="G146" s="25"/>
      <c r="H146" s="25"/>
      <c r="I146" s="25"/>
      <c r="J146" s="25"/>
      <c r="K146" s="25"/>
      <c r="L146" s="25"/>
      <c r="M146" s="25"/>
      <c r="N146" s="52">
        <f>N145+N144</f>
        <v>-6</v>
      </c>
      <c r="O146" s="25"/>
      <c r="P146" s="5"/>
    </row>
    <row r="147" spans="1:256" ht="15.6" x14ac:dyDescent="0.3">
      <c r="A147" s="24"/>
      <c r="B147" s="25" t="s">
        <v>264</v>
      </c>
      <c r="C147" s="25"/>
      <c r="D147" s="25"/>
      <c r="E147" s="25"/>
      <c r="F147" s="25"/>
      <c r="G147" s="25"/>
      <c r="H147" s="25"/>
      <c r="I147" s="25"/>
      <c r="J147" s="25"/>
      <c r="K147" s="25"/>
      <c r="L147" s="25"/>
      <c r="M147" s="25"/>
      <c r="N147" s="52">
        <f>N99</f>
        <v>6</v>
      </c>
      <c r="O147" s="25"/>
      <c r="P147" s="5"/>
    </row>
    <row r="148" spans="1:256" ht="15.6" x14ac:dyDescent="0.3">
      <c r="A148" s="24"/>
      <c r="B148" s="25" t="s">
        <v>52</v>
      </c>
      <c r="C148" s="25"/>
      <c r="D148" s="25"/>
      <c r="E148" s="25"/>
      <c r="F148" s="25"/>
      <c r="G148" s="25"/>
      <c r="H148" s="25"/>
      <c r="I148" s="25"/>
      <c r="J148" s="25"/>
      <c r="K148" s="25"/>
      <c r="L148" s="25"/>
      <c r="M148" s="25"/>
      <c r="N148" s="52">
        <f>N146+N147</f>
        <v>0</v>
      </c>
      <c r="O148" s="25"/>
      <c r="P148" s="5"/>
    </row>
    <row r="149" spans="1:256" ht="16.2" thickBot="1" x14ac:dyDescent="0.35">
      <c r="A149" s="24"/>
      <c r="B149" s="25"/>
      <c r="C149" s="25"/>
      <c r="D149" s="25"/>
      <c r="E149" s="25"/>
      <c r="F149" s="25"/>
      <c r="G149" s="25"/>
      <c r="H149" s="25"/>
      <c r="I149" s="25"/>
      <c r="J149" s="25"/>
      <c r="K149" s="25"/>
      <c r="L149" s="25"/>
      <c r="M149" s="25"/>
      <c r="N149" s="59"/>
      <c r="O149" s="25"/>
      <c r="P149" s="5"/>
    </row>
    <row r="150" spans="1:256" ht="15.6" x14ac:dyDescent="0.3">
      <c r="A150" s="2"/>
      <c r="B150" s="4"/>
      <c r="C150" s="4"/>
      <c r="D150" s="4"/>
      <c r="E150" s="4"/>
      <c r="F150" s="4"/>
      <c r="G150" s="4"/>
      <c r="H150" s="4"/>
      <c r="I150" s="4"/>
      <c r="J150" s="4"/>
      <c r="K150" s="4"/>
      <c r="L150" s="4"/>
      <c r="M150" s="4"/>
      <c r="N150" s="49"/>
      <c r="O150" s="4"/>
      <c r="P150" s="5"/>
    </row>
    <row r="151" spans="1:256" ht="15.6" x14ac:dyDescent="0.3">
      <c r="A151" s="6"/>
      <c r="B151" s="114" t="s">
        <v>53</v>
      </c>
      <c r="C151" s="8"/>
      <c r="D151" s="8"/>
      <c r="E151" s="8"/>
      <c r="F151" s="8"/>
      <c r="G151" s="8"/>
      <c r="H151" s="8"/>
      <c r="I151" s="8"/>
      <c r="J151" s="8"/>
      <c r="K151" s="8"/>
      <c r="L151" s="8"/>
      <c r="M151" s="8"/>
      <c r="N151" s="51"/>
      <c r="O151" s="8"/>
      <c r="P151" s="5"/>
    </row>
    <row r="152" spans="1:256" ht="15.6" x14ac:dyDescent="0.3">
      <c r="A152" s="6"/>
      <c r="B152" s="21"/>
      <c r="C152" s="8"/>
      <c r="D152" s="8"/>
      <c r="E152" s="8"/>
      <c r="F152" s="8"/>
      <c r="G152" s="8"/>
      <c r="H152" s="8"/>
      <c r="I152" s="8"/>
      <c r="J152" s="8"/>
      <c r="K152" s="8"/>
      <c r="L152" s="8"/>
      <c r="M152" s="8"/>
      <c r="N152" s="51"/>
      <c r="O152" s="8"/>
      <c r="P152" s="5"/>
    </row>
    <row r="153" spans="1:256" ht="15.6" x14ac:dyDescent="0.3">
      <c r="A153" s="24"/>
      <c r="B153" s="25" t="s">
        <v>234</v>
      </c>
      <c r="C153" s="25"/>
      <c r="D153" s="25"/>
      <c r="E153" s="25"/>
      <c r="F153" s="25"/>
      <c r="G153" s="25"/>
      <c r="H153" s="25"/>
      <c r="I153" s="25"/>
      <c r="J153" s="25"/>
      <c r="K153" s="25"/>
      <c r="L153" s="25"/>
      <c r="M153" s="25"/>
      <c r="N153" s="52">
        <f>N57</f>
        <v>137492</v>
      </c>
      <c r="O153" s="25"/>
      <c r="P153" s="5"/>
      <c r="Q153" s="104"/>
    </row>
    <row r="154" spans="1:256" ht="15.6" x14ac:dyDescent="0.3">
      <c r="A154" s="24"/>
      <c r="B154" s="25" t="s">
        <v>54</v>
      </c>
      <c r="C154" s="25"/>
      <c r="D154" s="25"/>
      <c r="E154" s="25"/>
      <c r="F154" s="25"/>
      <c r="G154" s="25"/>
      <c r="H154" s="25"/>
      <c r="I154" s="25"/>
      <c r="J154" s="25"/>
      <c r="K154" s="25"/>
      <c r="L154" s="25"/>
      <c r="M154" s="25"/>
      <c r="N154" s="52">
        <f>N73</f>
        <v>137492</v>
      </c>
      <c r="O154" s="25"/>
      <c r="P154" s="5"/>
    </row>
    <row r="155" spans="1:256" ht="16.2" thickBot="1" x14ac:dyDescent="0.35">
      <c r="A155" s="24"/>
      <c r="B155" s="25"/>
      <c r="C155" s="25"/>
      <c r="D155" s="25"/>
      <c r="E155" s="25"/>
      <c r="F155" s="25"/>
      <c r="G155" s="25"/>
      <c r="H155" s="25"/>
      <c r="I155" s="25"/>
      <c r="J155" s="25"/>
      <c r="K155" s="25"/>
      <c r="L155" s="25"/>
      <c r="M155" s="25"/>
      <c r="N155" s="59"/>
      <c r="O155" s="25"/>
      <c r="P155" s="5"/>
    </row>
    <row r="156" spans="1:256" s="150" customFormat="1" ht="15.6" x14ac:dyDescent="0.3">
      <c r="A156" s="2"/>
      <c r="B156" s="4"/>
      <c r="C156" s="4"/>
      <c r="D156" s="4"/>
      <c r="E156" s="4"/>
      <c r="F156" s="4"/>
      <c r="G156" s="4"/>
      <c r="H156" s="4"/>
      <c r="I156" s="4"/>
      <c r="J156" s="4"/>
      <c r="K156" s="4"/>
      <c r="L156" s="4"/>
      <c r="M156" s="4"/>
      <c r="N156" s="49"/>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s="153" customFormat="1" ht="15.6" x14ac:dyDescent="0.3">
      <c r="A157" s="6"/>
      <c r="B157" s="160" t="s">
        <v>205</v>
      </c>
      <c r="C157" s="151"/>
      <c r="D157" s="151"/>
      <c r="E157" s="151"/>
      <c r="F157" s="151"/>
      <c r="G157" s="151"/>
      <c r="H157" s="151"/>
      <c r="I157" s="151"/>
      <c r="J157" s="151"/>
      <c r="K157" s="151"/>
      <c r="L157" s="151"/>
      <c r="M157" s="151"/>
      <c r="N157" s="152"/>
      <c r="O157" s="151"/>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ht="16.2" thickBot="1" x14ac:dyDescent="0.35">
      <c r="A158" s="6"/>
      <c r="B158" s="151"/>
      <c r="C158" s="151"/>
      <c r="D158" s="151"/>
      <c r="E158" s="151"/>
      <c r="F158" s="151"/>
      <c r="G158" s="151"/>
      <c r="H158" s="151"/>
      <c r="I158" s="151"/>
      <c r="J158" s="151"/>
      <c r="K158" s="151"/>
      <c r="L158" s="151"/>
      <c r="M158" s="151"/>
      <c r="N158" s="152"/>
      <c r="O158" s="151"/>
      <c r="P158" s="5"/>
    </row>
    <row r="159" spans="1:256" s="156" customFormat="1" ht="15.6" x14ac:dyDescent="0.3">
      <c r="A159" s="2"/>
      <c r="B159" s="4" t="s">
        <v>206</v>
      </c>
      <c r="C159" s="4"/>
      <c r="D159" s="4"/>
      <c r="E159" s="4"/>
      <c r="F159" s="4"/>
      <c r="G159" s="4"/>
      <c r="H159" s="4"/>
      <c r="I159" s="4"/>
      <c r="J159" s="4"/>
      <c r="K159" s="4"/>
      <c r="L159" s="4"/>
      <c r="M159" s="4"/>
      <c r="N159" s="185">
        <f>+'Feb 09'!N162</f>
        <v>524</v>
      </c>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s="153" customFormat="1" ht="15.6" x14ac:dyDescent="0.3">
      <c r="A160" s="181"/>
      <c r="B160" s="182" t="s">
        <v>207</v>
      </c>
      <c r="C160" s="182"/>
      <c r="D160" s="182"/>
      <c r="E160" s="182"/>
      <c r="F160" s="182"/>
      <c r="G160" s="182"/>
      <c r="H160" s="182"/>
      <c r="I160" s="182"/>
      <c r="J160" s="182"/>
      <c r="K160" s="182"/>
      <c r="L160" s="182"/>
      <c r="M160" s="182"/>
      <c r="N160" s="183">
        <f>+H58</f>
        <v>6</v>
      </c>
      <c r="O160" s="18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s="163" customFormat="1" ht="15.6" x14ac:dyDescent="0.3">
      <c r="A161" s="181"/>
      <c r="B161" s="182" t="s">
        <v>208</v>
      </c>
      <c r="C161" s="182"/>
      <c r="D161" s="182"/>
      <c r="E161" s="182"/>
      <c r="F161" s="182"/>
      <c r="G161" s="182"/>
      <c r="H161" s="182"/>
      <c r="I161" s="182"/>
      <c r="J161" s="182"/>
      <c r="K161" s="182"/>
      <c r="L161" s="182"/>
      <c r="M161" s="182"/>
      <c r="N161" s="183">
        <v>0</v>
      </c>
      <c r="O161" s="18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s="159" customFormat="1" ht="15.6" x14ac:dyDescent="0.3">
      <c r="A162" s="181"/>
      <c r="B162" s="182" t="s">
        <v>217</v>
      </c>
      <c r="C162" s="182"/>
      <c r="D162" s="182"/>
      <c r="E162" s="182"/>
      <c r="F162" s="182"/>
      <c r="G162" s="182"/>
      <c r="H162" s="182"/>
      <c r="I162" s="182"/>
      <c r="J162" s="182"/>
      <c r="K162" s="182"/>
      <c r="L162" s="182"/>
      <c r="M162" s="182"/>
      <c r="N162" s="183">
        <f>N159-N160-N161</f>
        <v>518</v>
      </c>
      <c r="O162" s="18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s="159" customFormat="1" ht="16.2" thickBot="1" x14ac:dyDescent="0.35">
      <c r="A163" s="6"/>
      <c r="B163" s="151"/>
      <c r="C163" s="151"/>
      <c r="D163" s="151"/>
      <c r="E163" s="151"/>
      <c r="F163" s="151"/>
      <c r="G163" s="151"/>
      <c r="H163" s="151"/>
      <c r="I163" s="151"/>
      <c r="J163" s="151"/>
      <c r="K163" s="151"/>
      <c r="L163" s="151"/>
      <c r="M163" s="151"/>
      <c r="N163" s="165"/>
      <c r="O163" s="151"/>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s="173" customFormat="1" ht="15.6" x14ac:dyDescent="0.3">
      <c r="A164" s="168"/>
      <c r="B164" s="169"/>
      <c r="C164" s="169"/>
      <c r="D164" s="169"/>
      <c r="E164" s="169"/>
      <c r="F164" s="169"/>
      <c r="G164" s="169"/>
      <c r="H164" s="169"/>
      <c r="I164" s="169"/>
      <c r="J164" s="169"/>
      <c r="K164" s="169"/>
      <c r="L164" s="169"/>
      <c r="M164" s="169"/>
      <c r="N164" s="170"/>
      <c r="O164" s="169"/>
      <c r="P164" s="172"/>
    </row>
    <row r="165" spans="1:256" ht="15.6" x14ac:dyDescent="0.3">
      <c r="A165" s="6"/>
      <c r="B165" s="114" t="s">
        <v>55</v>
      </c>
      <c r="C165" s="112"/>
      <c r="D165" s="115"/>
      <c r="E165" s="115"/>
      <c r="F165" s="115"/>
      <c r="G165" s="115"/>
      <c r="H165" s="115"/>
      <c r="I165" s="115"/>
      <c r="J165" s="115"/>
      <c r="K165" s="115" t="s">
        <v>98</v>
      </c>
      <c r="L165" s="115" t="s">
        <v>226</v>
      </c>
      <c r="M165" s="106"/>
      <c r="N165" s="116" t="s">
        <v>114</v>
      </c>
      <c r="O165" s="10"/>
      <c r="P165" s="5"/>
    </row>
    <row r="166" spans="1:256" ht="15.6" x14ac:dyDescent="0.3">
      <c r="A166" s="24"/>
      <c r="B166" s="25" t="s">
        <v>56</v>
      </c>
      <c r="C166" s="25"/>
      <c r="D166" s="25"/>
      <c r="E166" s="25"/>
      <c r="F166" s="25"/>
      <c r="G166" s="25"/>
      <c r="H166" s="25"/>
      <c r="I166" s="25"/>
      <c r="J166" s="25"/>
      <c r="K166" s="52" t="s">
        <v>117</v>
      </c>
      <c r="L166" s="40" t="s">
        <v>117</v>
      </c>
      <c r="M166" s="25"/>
      <c r="N166" s="52"/>
      <c r="O166" s="25"/>
      <c r="P166" s="5"/>
    </row>
    <row r="167" spans="1:256" ht="15.6" x14ac:dyDescent="0.3">
      <c r="A167" s="24"/>
      <c r="B167" s="25" t="s">
        <v>57</v>
      </c>
      <c r="C167" s="25"/>
      <c r="D167" s="25"/>
      <c r="E167" s="25"/>
      <c r="F167" s="25"/>
      <c r="G167" s="25"/>
      <c r="H167" s="25"/>
      <c r="I167" s="25"/>
      <c r="J167" s="25"/>
      <c r="K167" s="52">
        <v>0</v>
      </c>
      <c r="L167" s="52">
        <f>+'Feb 09'!L169</f>
        <v>8832</v>
      </c>
      <c r="M167" s="25"/>
      <c r="N167" s="52">
        <f>K167+L167</f>
        <v>8832</v>
      </c>
      <c r="O167" s="25"/>
      <c r="P167" s="5"/>
    </row>
    <row r="168" spans="1:256" ht="15.6" x14ac:dyDescent="0.3">
      <c r="A168" s="24"/>
      <c r="B168" s="25" t="s">
        <v>58</v>
      </c>
      <c r="C168" s="25"/>
      <c r="D168" s="25"/>
      <c r="E168" s="25"/>
      <c r="F168" s="25"/>
      <c r="G168" s="25"/>
      <c r="H168" s="25"/>
      <c r="I168" s="25"/>
      <c r="J168" s="25"/>
      <c r="K168" s="34">
        <v>0</v>
      </c>
      <c r="L168" s="34">
        <f>-L108</f>
        <v>775</v>
      </c>
      <c r="M168" s="25"/>
      <c r="N168" s="52">
        <f>K168+L168</f>
        <v>775</v>
      </c>
      <c r="O168" s="25"/>
      <c r="P168" s="5"/>
    </row>
    <row r="169" spans="1:256" ht="15.6" x14ac:dyDescent="0.3">
      <c r="A169" s="24"/>
      <c r="B169" s="25" t="s">
        <v>59</v>
      </c>
      <c r="C169" s="25"/>
      <c r="D169" s="25"/>
      <c r="E169" s="25"/>
      <c r="F169" s="25"/>
      <c r="G169" s="25"/>
      <c r="H169" s="25"/>
      <c r="I169" s="25"/>
      <c r="J169" s="25"/>
      <c r="K169" s="52">
        <f>K167+K168</f>
        <v>0</v>
      </c>
      <c r="L169" s="52">
        <f>L168+L167</f>
        <v>9607</v>
      </c>
      <c r="M169" s="25"/>
      <c r="N169" s="52">
        <f>K169+L169</f>
        <v>9607</v>
      </c>
      <c r="O169" s="25"/>
      <c r="P169" s="5"/>
    </row>
    <row r="170" spans="1:256" ht="15.6" x14ac:dyDescent="0.3">
      <c r="A170" s="24"/>
      <c r="B170" s="25" t="s">
        <v>60</v>
      </c>
      <c r="C170" s="25"/>
      <c r="D170" s="25"/>
      <c r="E170" s="25"/>
      <c r="F170" s="25"/>
      <c r="G170" s="25"/>
      <c r="H170" s="25"/>
      <c r="I170" s="25"/>
      <c r="J170" s="25"/>
      <c r="K170" s="52" t="s">
        <v>117</v>
      </c>
      <c r="L170" s="40" t="s">
        <v>117</v>
      </c>
      <c r="M170" s="25"/>
      <c r="N170" s="52"/>
      <c r="O170" s="25"/>
      <c r="P170" s="5"/>
    </row>
    <row r="171" spans="1:256" ht="16.2" thickBot="1" x14ac:dyDescent="0.35">
      <c r="A171" s="24"/>
      <c r="B171" s="25"/>
      <c r="C171" s="25"/>
      <c r="D171" s="25"/>
      <c r="E171" s="25"/>
      <c r="F171" s="25"/>
      <c r="G171" s="25"/>
      <c r="H171" s="25"/>
      <c r="I171" s="25"/>
      <c r="J171" s="25"/>
      <c r="K171" s="25"/>
      <c r="L171" s="25"/>
      <c r="M171" s="25"/>
      <c r="N171" s="59"/>
      <c r="O171" s="25"/>
      <c r="P171" s="5"/>
    </row>
    <row r="172" spans="1:256" ht="15.6" x14ac:dyDescent="0.3">
      <c r="A172" s="2"/>
      <c r="B172" s="4"/>
      <c r="C172" s="4"/>
      <c r="D172" s="4"/>
      <c r="E172" s="4"/>
      <c r="F172" s="4"/>
      <c r="G172" s="4"/>
      <c r="H172" s="4"/>
      <c r="I172" s="4"/>
      <c r="J172" s="4"/>
      <c r="K172" s="4"/>
      <c r="L172" s="4"/>
      <c r="M172" s="4"/>
      <c r="N172" s="49"/>
      <c r="O172" s="4"/>
      <c r="P172" s="5"/>
    </row>
    <row r="173" spans="1:256" ht="15.6" x14ac:dyDescent="0.3">
      <c r="A173" s="6"/>
      <c r="B173" s="114" t="s">
        <v>61</v>
      </c>
      <c r="C173" s="8"/>
      <c r="D173" s="8"/>
      <c r="E173" s="8"/>
      <c r="F173" s="8"/>
      <c r="G173" s="8"/>
      <c r="H173" s="8"/>
      <c r="I173" s="8"/>
      <c r="J173" s="8"/>
      <c r="K173" s="8"/>
      <c r="L173" s="8"/>
      <c r="M173" s="8"/>
      <c r="N173" s="63"/>
      <c r="O173" s="8"/>
      <c r="P173" s="5"/>
    </row>
    <row r="174" spans="1:256" ht="15.6" x14ac:dyDescent="0.3">
      <c r="A174" s="24"/>
      <c r="B174" s="25" t="s">
        <v>62</v>
      </c>
      <c r="C174" s="25"/>
      <c r="D174" s="25"/>
      <c r="E174" s="25"/>
      <c r="F174" s="25"/>
      <c r="G174" s="25"/>
      <c r="H174" s="25"/>
      <c r="I174" s="25"/>
      <c r="J174" s="25"/>
      <c r="K174" s="25"/>
      <c r="L174" s="25"/>
      <c r="M174" s="25"/>
      <c r="N174" s="57">
        <f>(N88+N90+N91+N92+N93)/-N94</f>
        <v>3.2878338278931749</v>
      </c>
      <c r="O174" s="25" t="s">
        <v>115</v>
      </c>
      <c r="P174" s="5"/>
    </row>
    <row r="175" spans="1:256" ht="15.6" x14ac:dyDescent="0.3">
      <c r="A175" s="24"/>
      <c r="B175" s="25" t="s">
        <v>63</v>
      </c>
      <c r="C175" s="25"/>
      <c r="D175" s="25"/>
      <c r="E175" s="25"/>
      <c r="F175" s="25"/>
      <c r="G175" s="25"/>
      <c r="H175" s="25"/>
      <c r="I175" s="25"/>
      <c r="J175" s="25"/>
      <c r="K175" s="25"/>
      <c r="L175" s="25"/>
      <c r="M175" s="25"/>
      <c r="N175" s="64">
        <v>1.48</v>
      </c>
      <c r="O175" s="25" t="s">
        <v>115</v>
      </c>
      <c r="P175" s="5"/>
    </row>
    <row r="176" spans="1:256" ht="15.6" x14ac:dyDescent="0.3">
      <c r="A176" s="24"/>
      <c r="B176" s="25" t="s">
        <v>64</v>
      </c>
      <c r="C176" s="25"/>
      <c r="D176" s="25"/>
      <c r="E176" s="25"/>
      <c r="F176" s="25"/>
      <c r="G176" s="25"/>
      <c r="H176" s="25"/>
      <c r="I176" s="25"/>
      <c r="J176" s="25"/>
      <c r="K176" s="25"/>
      <c r="L176" s="25"/>
      <c r="M176" s="25"/>
      <c r="N176" s="57">
        <f>(N88+N90+N91+N92+N93+N94)/-N96</f>
        <v>77.099999999999994</v>
      </c>
      <c r="O176" s="25" t="s">
        <v>115</v>
      </c>
      <c r="P176" s="5"/>
    </row>
    <row r="177" spans="1:16" ht="15.6" x14ac:dyDescent="0.3">
      <c r="A177" s="24"/>
      <c r="B177" s="25" t="s">
        <v>65</v>
      </c>
      <c r="C177" s="25"/>
      <c r="D177" s="25"/>
      <c r="E177" s="25"/>
      <c r="F177" s="25"/>
      <c r="G177" s="25"/>
      <c r="H177" s="25"/>
      <c r="I177" s="25"/>
      <c r="J177" s="25"/>
      <c r="K177" s="25"/>
      <c r="L177" s="25"/>
      <c r="M177" s="25"/>
      <c r="N177" s="64">
        <v>22.9</v>
      </c>
      <c r="O177" s="25" t="s">
        <v>115</v>
      </c>
      <c r="P177" s="5"/>
    </row>
    <row r="178" spans="1:16" ht="15.6" x14ac:dyDescent="0.3">
      <c r="A178" s="24"/>
      <c r="B178" s="25" t="s">
        <v>166</v>
      </c>
      <c r="C178" s="25"/>
      <c r="D178" s="25"/>
      <c r="E178" s="25"/>
      <c r="F178" s="25"/>
      <c r="G178" s="25"/>
      <c r="H178" s="25"/>
      <c r="I178" s="25"/>
      <c r="J178" s="25"/>
      <c r="K178" s="25"/>
      <c r="L178" s="25"/>
      <c r="M178" s="25"/>
      <c r="N178" s="57">
        <f>(N88+N90+N91+N92+N93+N94+N96)/-N97</f>
        <v>72.476190476190482</v>
      </c>
      <c r="O178" s="25" t="s">
        <v>115</v>
      </c>
      <c r="P178" s="5"/>
    </row>
    <row r="179" spans="1:16" ht="15.6" x14ac:dyDescent="0.3">
      <c r="A179" s="24"/>
      <c r="B179" s="25" t="s">
        <v>167</v>
      </c>
      <c r="C179" s="25"/>
      <c r="D179" s="25"/>
      <c r="E179" s="25"/>
      <c r="F179" s="25"/>
      <c r="G179" s="25"/>
      <c r="H179" s="25"/>
      <c r="I179" s="25"/>
      <c r="J179" s="25"/>
      <c r="K179" s="25"/>
      <c r="L179" s="25"/>
      <c r="M179" s="25"/>
      <c r="N179" s="64">
        <v>21.45</v>
      </c>
      <c r="O179" s="25" t="s">
        <v>115</v>
      </c>
      <c r="P179" s="5"/>
    </row>
    <row r="180" spans="1:16" ht="15.6" x14ac:dyDescent="0.3">
      <c r="A180" s="24"/>
      <c r="B180" s="25"/>
      <c r="C180" s="25"/>
      <c r="D180" s="25"/>
      <c r="E180" s="25"/>
      <c r="F180" s="25"/>
      <c r="G180" s="25"/>
      <c r="H180" s="25"/>
      <c r="I180" s="25"/>
      <c r="J180" s="25"/>
      <c r="K180" s="25"/>
      <c r="L180" s="25"/>
      <c r="M180" s="25"/>
      <c r="N180" s="25"/>
      <c r="O180" s="25"/>
      <c r="P180" s="5"/>
    </row>
    <row r="181" spans="1:16" ht="15.6" x14ac:dyDescent="0.3">
      <c r="A181" s="24"/>
      <c r="B181" s="25"/>
      <c r="C181" s="25"/>
      <c r="D181" s="25"/>
      <c r="E181" s="25"/>
      <c r="F181" s="25"/>
      <c r="G181" s="25"/>
      <c r="H181" s="25"/>
      <c r="I181" s="25"/>
      <c r="J181" s="25"/>
      <c r="K181" s="25"/>
      <c r="L181" s="25"/>
      <c r="M181" s="25"/>
      <c r="N181" s="25"/>
      <c r="O181" s="25"/>
      <c r="P181" s="5"/>
    </row>
    <row r="182" spans="1:16" ht="15.6" x14ac:dyDescent="0.3">
      <c r="A182" s="6"/>
      <c r="B182" s="8"/>
      <c r="C182" s="8"/>
      <c r="D182" s="8"/>
      <c r="E182" s="8"/>
      <c r="F182" s="8"/>
      <c r="G182" s="8"/>
      <c r="H182" s="8"/>
      <c r="I182" s="8"/>
      <c r="J182" s="8"/>
      <c r="K182" s="8"/>
      <c r="L182" s="8"/>
      <c r="M182" s="8"/>
      <c r="N182" s="8"/>
      <c r="O182" s="8"/>
      <c r="P182" s="5"/>
    </row>
    <row r="183" spans="1:16" ht="18" thickBot="1" x14ac:dyDescent="0.35">
      <c r="A183" s="96"/>
      <c r="B183" s="97" t="str">
        <f>B116</f>
        <v>FF7 INVESTOR REPORT QUARTER ENDING MAY 2009</v>
      </c>
      <c r="C183" s="177"/>
      <c r="D183" s="177"/>
      <c r="E183" s="177"/>
      <c r="F183" s="177"/>
      <c r="G183" s="177"/>
      <c r="H183" s="177"/>
      <c r="I183" s="177"/>
      <c r="J183" s="177"/>
      <c r="K183" s="177"/>
      <c r="L183" s="177"/>
      <c r="M183" s="177"/>
      <c r="N183" s="177"/>
      <c r="O183" s="178"/>
      <c r="P183" s="5"/>
    </row>
    <row r="184" spans="1:16" ht="15.6" x14ac:dyDescent="0.3">
      <c r="A184" s="65"/>
      <c r="B184" s="58" t="s">
        <v>66</v>
      </c>
      <c r="C184" s="66"/>
      <c r="D184" s="67"/>
      <c r="E184" s="67"/>
      <c r="F184" s="67"/>
      <c r="G184" s="67"/>
      <c r="H184" s="67"/>
      <c r="I184" s="67"/>
      <c r="J184" s="67"/>
      <c r="K184" s="67"/>
      <c r="L184" s="68">
        <v>39962</v>
      </c>
      <c r="M184" s="4"/>
      <c r="N184" s="4"/>
      <c r="O184" s="4"/>
      <c r="P184" s="5"/>
    </row>
    <row r="185" spans="1:16" ht="15.6" x14ac:dyDescent="0.3">
      <c r="A185" s="69"/>
      <c r="B185" s="70"/>
      <c r="C185" s="71"/>
      <c r="D185" s="72"/>
      <c r="E185" s="72"/>
      <c r="F185" s="72"/>
      <c r="G185" s="72"/>
      <c r="H185" s="72"/>
      <c r="I185" s="72"/>
      <c r="J185" s="72"/>
      <c r="K185" s="72"/>
      <c r="L185" s="72"/>
      <c r="M185" s="8"/>
      <c r="N185" s="8"/>
      <c r="O185" s="8"/>
      <c r="P185" s="5"/>
    </row>
    <row r="186" spans="1:16" ht="15.6" x14ac:dyDescent="0.3">
      <c r="A186" s="73"/>
      <c r="B186" s="74" t="s">
        <v>67</v>
      </c>
      <c r="C186" s="75"/>
      <c r="D186" s="62"/>
      <c r="E186" s="62"/>
      <c r="F186" s="62"/>
      <c r="G186" s="62"/>
      <c r="H186" s="62"/>
      <c r="I186" s="62"/>
      <c r="J186" s="62"/>
      <c r="K186" s="62"/>
      <c r="L186" s="76">
        <v>7.2950000000000001E-2</v>
      </c>
      <c r="M186" s="25"/>
      <c r="N186" s="25"/>
      <c r="O186" s="25"/>
      <c r="P186" s="5"/>
    </row>
    <row r="187" spans="1:16" ht="15.6" x14ac:dyDescent="0.3">
      <c r="A187" s="73"/>
      <c r="B187" s="74" t="s">
        <v>213</v>
      </c>
      <c r="C187" s="75"/>
      <c r="D187" s="62"/>
      <c r="E187" s="62"/>
      <c r="F187" s="62"/>
      <c r="G187" s="62"/>
      <c r="H187" s="62"/>
      <c r="I187" s="62"/>
      <c r="J187" s="62"/>
      <c r="K187" s="62"/>
      <c r="L187" s="39">
        <v>5.79E-2</v>
      </c>
      <c r="M187" s="25"/>
      <c r="N187" s="25"/>
      <c r="O187" s="25"/>
      <c r="P187" s="5"/>
    </row>
    <row r="188" spans="1:16" ht="15.6" x14ac:dyDescent="0.3">
      <c r="A188" s="73"/>
      <c r="B188" s="74" t="s">
        <v>68</v>
      </c>
      <c r="C188" s="75"/>
      <c r="D188" s="62"/>
      <c r="E188" s="62"/>
      <c r="F188" s="62"/>
      <c r="G188" s="62"/>
      <c r="H188" s="62"/>
      <c r="I188" s="62"/>
      <c r="J188" s="62"/>
      <c r="K188" s="62"/>
      <c r="L188" s="76">
        <f>L186-L187</f>
        <v>1.5050000000000001E-2</v>
      </c>
      <c r="M188" s="25"/>
      <c r="N188" s="25"/>
      <c r="O188" s="25"/>
      <c r="P188" s="5"/>
    </row>
    <row r="189" spans="1:16" ht="15.6" x14ac:dyDescent="0.3">
      <c r="A189" s="73"/>
      <c r="B189" s="74" t="s">
        <v>69</v>
      </c>
      <c r="C189" s="75"/>
      <c r="D189" s="62"/>
      <c r="E189" s="62"/>
      <c r="F189" s="62"/>
      <c r="G189" s="62"/>
      <c r="H189" s="62"/>
      <c r="I189" s="62"/>
      <c r="J189" s="62"/>
      <c r="K189" s="62"/>
      <c r="L189" s="76">
        <v>5.4309999999999997E-2</v>
      </c>
      <c r="M189" s="25"/>
      <c r="N189" s="25"/>
      <c r="O189" s="25"/>
      <c r="P189" s="5"/>
    </row>
    <row r="190" spans="1:16" ht="15.6" x14ac:dyDescent="0.3">
      <c r="A190" s="73"/>
      <c r="B190" s="74" t="s">
        <v>212</v>
      </c>
      <c r="C190" s="75"/>
      <c r="D190" s="62"/>
      <c r="E190" s="62"/>
      <c r="F190" s="62"/>
      <c r="G190" s="62"/>
      <c r="H190" s="62"/>
      <c r="I190" s="62"/>
      <c r="J190" s="62"/>
      <c r="K190" s="62"/>
      <c r="L190" s="76">
        <f>N34</f>
        <v>1.9642281829340132E-2</v>
      </c>
      <c r="M190" s="25"/>
      <c r="N190" s="25"/>
      <c r="O190" s="25"/>
      <c r="P190" s="5"/>
    </row>
    <row r="191" spans="1:16" ht="15.6" x14ac:dyDescent="0.3">
      <c r="A191" s="73"/>
      <c r="B191" s="74" t="s">
        <v>70</v>
      </c>
      <c r="C191" s="75"/>
      <c r="D191" s="62"/>
      <c r="E191" s="62"/>
      <c r="F191" s="62"/>
      <c r="G191" s="62"/>
      <c r="H191" s="62"/>
      <c r="I191" s="62"/>
      <c r="J191" s="62"/>
      <c r="K191" s="62"/>
      <c r="L191" s="76">
        <f>L189-L190</f>
        <v>3.4667718170659861E-2</v>
      </c>
      <c r="M191" s="25"/>
      <c r="N191" s="25"/>
      <c r="O191" s="25"/>
      <c r="P191" s="5"/>
    </row>
    <row r="192" spans="1:16" ht="15.6" x14ac:dyDescent="0.3">
      <c r="A192" s="73"/>
      <c r="B192" s="74" t="s">
        <v>203</v>
      </c>
      <c r="C192" s="75"/>
      <c r="D192" s="62"/>
      <c r="E192" s="62"/>
      <c r="F192" s="62"/>
      <c r="G192" s="62"/>
      <c r="H192" s="62"/>
      <c r="I192" s="62"/>
      <c r="J192" s="62"/>
      <c r="K192" s="62"/>
      <c r="L192" s="76">
        <f>+N88/F60</f>
        <v>1.5610401478521206E-2</v>
      </c>
      <c r="M192" s="25"/>
      <c r="N192" s="25"/>
      <c r="O192" s="25"/>
      <c r="P192" s="5"/>
    </row>
    <row r="193" spans="1:16" ht="15.6" x14ac:dyDescent="0.3">
      <c r="A193" s="73"/>
      <c r="B193" s="74" t="s">
        <v>171</v>
      </c>
      <c r="C193" s="75"/>
      <c r="D193" s="62"/>
      <c r="E193" s="62"/>
      <c r="F193" s="62"/>
      <c r="G193" s="62"/>
      <c r="H193" s="62"/>
      <c r="I193" s="62"/>
      <c r="J193" s="62"/>
      <c r="K193" s="62"/>
      <c r="L193" s="122">
        <v>48823</v>
      </c>
      <c r="M193" s="25"/>
      <c r="N193" s="25"/>
      <c r="O193" s="25"/>
      <c r="P193" s="5"/>
    </row>
    <row r="194" spans="1:16" ht="15.6" x14ac:dyDescent="0.3">
      <c r="A194" s="73"/>
      <c r="B194" s="74" t="s">
        <v>172</v>
      </c>
      <c r="C194" s="75"/>
      <c r="D194" s="62"/>
      <c r="E194" s="62"/>
      <c r="F194" s="62"/>
      <c r="G194" s="62"/>
      <c r="H194" s="62"/>
      <c r="I194" s="62"/>
      <c r="J194" s="62"/>
      <c r="K194" s="62"/>
      <c r="L194" s="122">
        <v>48823</v>
      </c>
      <c r="M194" s="25"/>
      <c r="N194" s="25"/>
      <c r="O194" s="25"/>
      <c r="P194" s="5"/>
    </row>
    <row r="195" spans="1:16" ht="15.6" x14ac:dyDescent="0.3">
      <c r="A195" s="73"/>
      <c r="B195" s="74" t="s">
        <v>173</v>
      </c>
      <c r="C195" s="75"/>
      <c r="D195" s="62"/>
      <c r="E195" s="62"/>
      <c r="F195" s="62"/>
      <c r="G195" s="62"/>
      <c r="H195" s="62"/>
      <c r="I195" s="62"/>
      <c r="J195" s="62"/>
      <c r="K195" s="62"/>
      <c r="L195" s="122">
        <v>48823</v>
      </c>
      <c r="M195" s="25"/>
      <c r="N195" s="25"/>
      <c r="O195" s="25"/>
      <c r="P195" s="5"/>
    </row>
    <row r="196" spans="1:16" ht="15.6" x14ac:dyDescent="0.3">
      <c r="A196" s="73"/>
      <c r="B196" s="74" t="s">
        <v>71</v>
      </c>
      <c r="C196" s="75"/>
      <c r="D196" s="62"/>
      <c r="E196" s="62"/>
      <c r="F196" s="62"/>
      <c r="G196" s="62"/>
      <c r="H196" s="62"/>
      <c r="I196" s="62"/>
      <c r="J196" s="62"/>
      <c r="K196" s="62"/>
      <c r="L196" s="126">
        <v>9.93</v>
      </c>
      <c r="M196" s="25" t="s">
        <v>110</v>
      </c>
      <c r="N196" s="25"/>
      <c r="O196" s="25"/>
      <c r="P196" s="5"/>
    </row>
    <row r="197" spans="1:16" ht="15.6" x14ac:dyDescent="0.3">
      <c r="A197" s="73"/>
      <c r="B197" s="74" t="s">
        <v>72</v>
      </c>
      <c r="C197" s="75"/>
      <c r="D197" s="62"/>
      <c r="E197" s="62"/>
      <c r="F197" s="62"/>
      <c r="G197" s="62"/>
      <c r="H197" s="62"/>
      <c r="I197" s="62"/>
      <c r="J197" s="62"/>
      <c r="K197" s="62"/>
      <c r="L197" s="126">
        <v>7.29</v>
      </c>
      <c r="M197" s="25" t="s">
        <v>110</v>
      </c>
      <c r="N197" s="25"/>
      <c r="O197" s="25"/>
      <c r="P197" s="5"/>
    </row>
    <row r="198" spans="1:16" ht="15.6" x14ac:dyDescent="0.3">
      <c r="A198" s="73"/>
      <c r="B198" s="74" t="s">
        <v>73</v>
      </c>
      <c r="C198" s="75"/>
      <c r="D198" s="62"/>
      <c r="E198" s="62"/>
      <c r="F198" s="62"/>
      <c r="G198" s="62"/>
      <c r="H198" s="62"/>
      <c r="I198" s="62"/>
      <c r="J198" s="62"/>
      <c r="K198" s="62"/>
      <c r="L198" s="76">
        <f>+H57/F57</f>
        <v>7.5053555906891431E-2</v>
      </c>
      <c r="M198" s="25"/>
      <c r="N198" s="25"/>
      <c r="O198" s="25"/>
      <c r="P198" s="5"/>
    </row>
    <row r="199" spans="1:16" ht="15.6" x14ac:dyDescent="0.3">
      <c r="A199" s="73"/>
      <c r="B199" s="74" t="s">
        <v>74</v>
      </c>
      <c r="C199" s="75"/>
      <c r="D199" s="62"/>
      <c r="E199" s="62"/>
      <c r="F199" s="62"/>
      <c r="G199" s="62"/>
      <c r="H199" s="62"/>
      <c r="I199" s="62"/>
      <c r="J199" s="62"/>
      <c r="K199" s="62"/>
      <c r="L199" s="76">
        <v>0.30740000000000001</v>
      </c>
      <c r="M199" s="25"/>
      <c r="N199" s="25"/>
      <c r="O199" s="25"/>
      <c r="P199" s="5"/>
    </row>
    <row r="200" spans="1:16" ht="15.6" x14ac:dyDescent="0.3">
      <c r="A200" s="73"/>
      <c r="B200" s="74"/>
      <c r="C200" s="74"/>
      <c r="D200" s="25"/>
      <c r="E200" s="25"/>
      <c r="F200" s="25"/>
      <c r="G200" s="25"/>
      <c r="H200" s="25"/>
      <c r="I200" s="25"/>
      <c r="J200" s="25"/>
      <c r="K200" s="25"/>
      <c r="L200" s="59"/>
      <c r="M200" s="25"/>
      <c r="N200" s="77"/>
      <c r="O200" s="25"/>
      <c r="P200" s="5"/>
    </row>
    <row r="201" spans="1:16" ht="15.6" x14ac:dyDescent="0.3">
      <c r="A201" s="78"/>
      <c r="B201" s="14" t="s">
        <v>75</v>
      </c>
      <c r="C201" s="79"/>
      <c r="D201" s="17"/>
      <c r="E201" s="17"/>
      <c r="F201" s="17"/>
      <c r="G201" s="17"/>
      <c r="H201" s="17"/>
      <c r="I201" s="17"/>
      <c r="J201" s="17"/>
      <c r="K201" s="17" t="s">
        <v>99</v>
      </c>
      <c r="L201" s="80" t="s">
        <v>106</v>
      </c>
      <c r="M201" s="8"/>
      <c r="N201" s="8"/>
      <c r="O201" s="8"/>
      <c r="P201" s="5"/>
    </row>
    <row r="202" spans="1:16" ht="15.6" x14ac:dyDescent="0.3">
      <c r="A202" s="81"/>
      <c r="B202" s="74" t="s">
        <v>76</v>
      </c>
      <c r="C202" s="53"/>
      <c r="D202" s="30"/>
      <c r="E202" s="30"/>
      <c r="F202" s="30"/>
      <c r="G202" s="30"/>
      <c r="H202" s="30"/>
      <c r="I202" s="30"/>
      <c r="J202" s="30"/>
      <c r="K202" s="30">
        <v>13</v>
      </c>
      <c r="L202" s="82">
        <v>1463</v>
      </c>
      <c r="M202" s="25"/>
      <c r="N202" s="77"/>
      <c r="O202" s="83"/>
      <c r="P202" s="5"/>
    </row>
    <row r="203" spans="1:16" ht="15.6" x14ac:dyDescent="0.3">
      <c r="A203" s="81"/>
      <c r="B203" s="74" t="s">
        <v>136</v>
      </c>
      <c r="C203" s="53"/>
      <c r="D203" s="30"/>
      <c r="E203" s="30"/>
      <c r="F203" s="30"/>
      <c r="G203" s="30"/>
      <c r="H203" s="30"/>
      <c r="I203" s="30"/>
      <c r="J203" s="30"/>
      <c r="K203" s="142">
        <f>+J253</f>
        <v>2</v>
      </c>
      <c r="L203" s="82">
        <f>+L253</f>
        <v>138</v>
      </c>
      <c r="M203" s="25"/>
      <c r="N203" s="77"/>
      <c r="O203" s="83"/>
      <c r="P203" s="5"/>
    </row>
    <row r="204" spans="1:16" ht="15.6" x14ac:dyDescent="0.3">
      <c r="A204" s="81"/>
      <c r="B204" s="74" t="s">
        <v>77</v>
      </c>
      <c r="C204" s="53"/>
      <c r="D204" s="30"/>
      <c r="E204" s="30"/>
      <c r="F204" s="30"/>
      <c r="G204" s="30"/>
      <c r="H204" s="30"/>
      <c r="I204" s="30"/>
      <c r="J204" s="30"/>
      <c r="K204" s="142">
        <f>+J270</f>
        <v>3</v>
      </c>
      <c r="L204" s="82">
        <f>+L270</f>
        <v>183</v>
      </c>
      <c r="M204" s="25"/>
      <c r="N204" s="77"/>
      <c r="O204" s="83"/>
      <c r="P204" s="5"/>
    </row>
    <row r="205" spans="1:16" ht="15.6" x14ac:dyDescent="0.3">
      <c r="A205" s="81"/>
      <c r="B205" s="117" t="s">
        <v>78</v>
      </c>
      <c r="C205" s="53"/>
      <c r="D205" s="25"/>
      <c r="E205" s="25"/>
      <c r="F205" s="25"/>
      <c r="G205" s="25"/>
      <c r="H205" s="25"/>
      <c r="I205" s="25"/>
      <c r="J205" s="25"/>
      <c r="K205" s="25"/>
      <c r="L205" s="82">
        <v>0</v>
      </c>
      <c r="M205" s="25"/>
      <c r="N205" s="77"/>
      <c r="O205" s="83"/>
      <c r="P205" s="5"/>
    </row>
    <row r="206" spans="1:16" ht="15.6" x14ac:dyDescent="0.3">
      <c r="A206" s="81"/>
      <c r="B206" s="117" t="s">
        <v>79</v>
      </c>
      <c r="C206" s="53"/>
      <c r="D206" s="25"/>
      <c r="E206" s="25"/>
      <c r="F206" s="25"/>
      <c r="G206" s="25"/>
      <c r="H206" s="25"/>
      <c r="I206" s="25"/>
      <c r="J206" s="25"/>
      <c r="K206" s="25"/>
      <c r="L206" s="60" t="s">
        <v>107</v>
      </c>
      <c r="M206" s="25"/>
      <c r="N206" s="77"/>
      <c r="O206" s="83"/>
      <c r="P206" s="5"/>
    </row>
    <row r="207" spans="1:16" ht="15.6" x14ac:dyDescent="0.3">
      <c r="A207" s="84"/>
      <c r="B207" s="117" t="s">
        <v>80</v>
      </c>
      <c r="C207" s="74"/>
      <c r="D207" s="25"/>
      <c r="E207" s="25"/>
      <c r="F207" s="25"/>
      <c r="G207" s="25"/>
      <c r="H207" s="25"/>
      <c r="I207" s="25"/>
      <c r="J207" s="25"/>
      <c r="K207" s="25"/>
      <c r="L207" s="82"/>
      <c r="M207" s="25"/>
      <c r="N207" s="77"/>
      <c r="O207" s="85"/>
      <c r="P207" s="5"/>
    </row>
    <row r="208" spans="1:16" ht="15.6" x14ac:dyDescent="0.3">
      <c r="A208" s="84"/>
      <c r="B208" s="124" t="s">
        <v>81</v>
      </c>
      <c r="C208" s="74"/>
      <c r="D208" s="25"/>
      <c r="E208" s="25"/>
      <c r="F208" s="25"/>
      <c r="G208" s="25"/>
      <c r="H208" s="25"/>
      <c r="I208" s="25"/>
      <c r="J208" s="25"/>
      <c r="K208" s="30"/>
      <c r="L208" s="82">
        <f>N145</f>
        <v>-6</v>
      </c>
      <c r="M208" s="25"/>
      <c r="N208" s="77"/>
      <c r="O208" s="85"/>
      <c r="P208" s="5"/>
    </row>
    <row r="209" spans="1:17" ht="15.6" x14ac:dyDescent="0.3">
      <c r="A209" s="81"/>
      <c r="B209" s="74" t="s">
        <v>82</v>
      </c>
      <c r="C209" s="53"/>
      <c r="D209" s="25"/>
      <c r="E209" s="25"/>
      <c r="F209" s="25"/>
      <c r="G209" s="25"/>
      <c r="H209" s="25"/>
      <c r="I209" s="25"/>
      <c r="J209" s="25"/>
      <c r="K209" s="30"/>
      <c r="L209" s="82">
        <f>'Feb 09'!L209+L208</f>
        <v>29</v>
      </c>
      <c r="M209" s="25"/>
      <c r="N209" s="77"/>
      <c r="O209" s="85"/>
      <c r="P209" s="5"/>
    </row>
    <row r="210" spans="1:17" ht="15.6" x14ac:dyDescent="0.3">
      <c r="A210" s="84"/>
      <c r="B210" s="117" t="s">
        <v>253</v>
      </c>
      <c r="C210" s="74"/>
      <c r="D210" s="25"/>
      <c r="E210" s="25"/>
      <c r="F210" s="25"/>
      <c r="G210" s="25"/>
      <c r="H210" s="25"/>
      <c r="I210" s="25"/>
      <c r="J210" s="25"/>
      <c r="K210" s="30"/>
      <c r="L210" s="82"/>
      <c r="M210" s="25"/>
      <c r="N210" s="77"/>
      <c r="O210" s="85"/>
      <c r="P210" s="5"/>
    </row>
    <row r="211" spans="1:17" ht="15.6" x14ac:dyDescent="0.3">
      <c r="A211" s="84"/>
      <c r="B211" s="74" t="s">
        <v>250</v>
      </c>
      <c r="C211" s="74"/>
      <c r="D211" s="25"/>
      <c r="E211" s="25"/>
      <c r="F211" s="25"/>
      <c r="G211" s="25"/>
      <c r="H211" s="25"/>
      <c r="I211" s="25"/>
      <c r="J211" s="25"/>
      <c r="K211" s="30">
        <v>1</v>
      </c>
      <c r="L211" s="82">
        <v>38</v>
      </c>
      <c r="M211" s="25"/>
      <c r="N211" s="77"/>
      <c r="O211" s="85"/>
      <c r="P211" s="5"/>
    </row>
    <row r="212" spans="1:17" ht="15.6" x14ac:dyDescent="0.3">
      <c r="A212" s="81"/>
      <c r="B212" s="74" t="s">
        <v>83</v>
      </c>
      <c r="C212" s="86"/>
      <c r="D212" s="25"/>
      <c r="E212" s="25"/>
      <c r="F212" s="25"/>
      <c r="G212" s="25"/>
      <c r="H212" s="25"/>
      <c r="I212" s="25"/>
      <c r="J212" s="25"/>
      <c r="K212" s="25"/>
      <c r="L212" s="60">
        <v>6.68</v>
      </c>
      <c r="M212" s="25"/>
      <c r="N212" s="77"/>
      <c r="O212" s="85"/>
      <c r="P212" s="5"/>
    </row>
    <row r="213" spans="1:17" ht="15.6" x14ac:dyDescent="0.3">
      <c r="A213" s="81"/>
      <c r="B213" s="74" t="s">
        <v>84</v>
      </c>
      <c r="C213" s="86"/>
      <c r="D213" s="25"/>
      <c r="E213" s="25"/>
      <c r="F213" s="25"/>
      <c r="G213" s="25"/>
      <c r="H213" s="25"/>
      <c r="I213" s="25"/>
      <c r="J213" s="25"/>
      <c r="K213" s="25"/>
      <c r="L213" s="60">
        <v>3.29</v>
      </c>
      <c r="M213" s="25"/>
      <c r="N213" s="77"/>
      <c r="O213" s="85"/>
      <c r="P213" s="5"/>
    </row>
    <row r="214" spans="1:17" ht="15.6" x14ac:dyDescent="0.3">
      <c r="A214" s="81"/>
      <c r="B214" s="117" t="s">
        <v>177</v>
      </c>
      <c r="C214" s="86"/>
      <c r="D214" s="25"/>
      <c r="E214" s="25"/>
      <c r="F214" s="25"/>
      <c r="G214" s="25"/>
      <c r="H214" s="25"/>
      <c r="I214" s="25"/>
      <c r="J214" s="25"/>
      <c r="K214" s="25"/>
      <c r="L214" s="87"/>
      <c r="M214" s="25"/>
      <c r="N214" s="77"/>
      <c r="O214" s="85"/>
      <c r="P214" s="5"/>
    </row>
    <row r="215" spans="1:17" ht="15.6" x14ac:dyDescent="0.3">
      <c r="A215" s="81"/>
      <c r="B215" s="74" t="s">
        <v>250</v>
      </c>
      <c r="C215" s="86"/>
      <c r="D215" s="25"/>
      <c r="E215" s="25"/>
      <c r="F215" s="25"/>
      <c r="G215" s="25"/>
      <c r="H215" s="25"/>
      <c r="I215" s="25"/>
      <c r="J215" s="25"/>
      <c r="K215" s="30">
        <v>0</v>
      </c>
      <c r="L215" s="82">
        <v>0</v>
      </c>
      <c r="M215" s="25"/>
      <c r="N215" s="77"/>
      <c r="O215" s="85"/>
      <c r="P215" s="5"/>
    </row>
    <row r="216" spans="1:17" ht="15.6" x14ac:dyDescent="0.3">
      <c r="A216" s="81"/>
      <c r="B216" s="74" t="s">
        <v>178</v>
      </c>
      <c r="C216" s="86"/>
      <c r="D216" s="25"/>
      <c r="E216" s="25"/>
      <c r="F216" s="25"/>
      <c r="G216" s="25"/>
      <c r="H216" s="25"/>
      <c r="I216" s="25"/>
      <c r="J216" s="25"/>
      <c r="K216" s="25"/>
      <c r="L216" s="60">
        <v>0</v>
      </c>
      <c r="M216" s="25"/>
      <c r="N216" s="77"/>
      <c r="O216" s="85"/>
      <c r="P216" s="5"/>
    </row>
    <row r="217" spans="1:17" ht="15.6" x14ac:dyDescent="0.3">
      <c r="A217" s="81"/>
      <c r="B217" s="74"/>
      <c r="C217" s="86"/>
      <c r="D217" s="25"/>
      <c r="E217" s="25"/>
      <c r="F217" s="25"/>
      <c r="G217" s="25"/>
      <c r="H217" s="25"/>
      <c r="I217" s="25"/>
      <c r="J217" s="25"/>
      <c r="K217" s="25"/>
      <c r="L217" s="87"/>
      <c r="M217" s="25"/>
      <c r="N217" s="77"/>
      <c r="O217" s="85"/>
      <c r="P217" s="5"/>
    </row>
    <row r="218" spans="1:17" ht="15.6" x14ac:dyDescent="0.3">
      <c r="A218" s="81"/>
      <c r="B218" s="74"/>
      <c r="C218" s="86"/>
      <c r="D218" s="25"/>
      <c r="E218" s="25"/>
      <c r="F218" s="25"/>
      <c r="G218" s="25"/>
      <c r="H218" s="25"/>
      <c r="I218" s="25"/>
      <c r="J218" s="25"/>
      <c r="K218" s="25"/>
      <c r="L218" s="87"/>
      <c r="M218" s="25"/>
      <c r="N218" s="77"/>
      <c r="O218" s="85"/>
      <c r="P218" s="5"/>
    </row>
    <row r="219" spans="1:17" ht="17.399999999999999" x14ac:dyDescent="0.3">
      <c r="A219" s="81"/>
      <c r="B219" s="140" t="s">
        <v>238</v>
      </c>
      <c r="C219" s="86"/>
      <c r="D219" s="25"/>
      <c r="E219" s="25"/>
      <c r="F219" s="25"/>
      <c r="G219" s="25"/>
      <c r="H219" s="180" t="s">
        <v>237</v>
      </c>
      <c r="I219" s="25"/>
      <c r="J219" s="25"/>
      <c r="K219" s="25"/>
      <c r="L219" s="87"/>
      <c r="M219" s="25"/>
      <c r="N219" s="77"/>
      <c r="O219" s="85"/>
      <c r="P219" s="5"/>
    </row>
    <row r="220" spans="1:17" ht="15.6" x14ac:dyDescent="0.3">
      <c r="A220" s="81"/>
      <c r="B220" s="74"/>
      <c r="C220" s="86"/>
      <c r="D220" s="25"/>
      <c r="E220" s="25"/>
      <c r="F220" s="25"/>
      <c r="G220" s="25"/>
      <c r="H220" s="25"/>
      <c r="I220" s="25"/>
      <c r="J220" s="25"/>
      <c r="K220" s="25"/>
      <c r="L220" s="87"/>
      <c r="M220" s="25"/>
      <c r="N220" s="77"/>
      <c r="O220" s="85"/>
      <c r="P220" s="5"/>
    </row>
    <row r="221" spans="1:17" ht="15.6" x14ac:dyDescent="0.3">
      <c r="A221" s="6"/>
      <c r="B221" s="14" t="s">
        <v>149</v>
      </c>
      <c r="C221" s="79"/>
      <c r="D221" s="17"/>
      <c r="E221" s="17"/>
      <c r="F221" s="17"/>
      <c r="G221" s="17"/>
      <c r="H221" s="17"/>
      <c r="I221" s="17"/>
      <c r="J221" s="80" t="s">
        <v>99</v>
      </c>
      <c r="K221" s="17" t="s">
        <v>100</v>
      </c>
      <c r="L221" s="80" t="s">
        <v>108</v>
      </c>
      <c r="M221" s="17" t="s">
        <v>100</v>
      </c>
      <c r="N221" s="8"/>
      <c r="O221" s="88"/>
      <c r="P221" s="5"/>
    </row>
    <row r="222" spans="1:17" ht="15.6" x14ac:dyDescent="0.3">
      <c r="A222" s="24"/>
      <c r="B222" s="53" t="s">
        <v>85</v>
      </c>
      <c r="C222" s="89"/>
      <c r="D222" s="89"/>
      <c r="E222" s="89"/>
      <c r="F222" s="89"/>
      <c r="G222" s="89"/>
      <c r="H222" s="89"/>
      <c r="I222" s="89"/>
      <c r="J222" s="53">
        <v>3087</v>
      </c>
      <c r="K222" s="90">
        <f t="shared" ref="K222:K234" si="1">J222/$J$236</f>
        <v>0.9312217194570136</v>
      </c>
      <c r="L222" s="52">
        <v>123693</v>
      </c>
      <c r="M222" s="125">
        <f t="shared" ref="M222:M234" si="2">L222/$L$236</f>
        <v>0.90174307980549828</v>
      </c>
      <c r="N222" s="77"/>
      <c r="O222" s="85"/>
      <c r="P222" s="5"/>
    </row>
    <row r="223" spans="1:17" ht="15.6" x14ac:dyDescent="0.3">
      <c r="A223" s="24"/>
      <c r="B223" s="53" t="s">
        <v>86</v>
      </c>
      <c r="C223" s="89"/>
      <c r="D223" s="89"/>
      <c r="E223" s="89"/>
      <c r="F223" s="89"/>
      <c r="G223" s="89"/>
      <c r="H223" s="89"/>
      <c r="I223" s="89"/>
      <c r="J223" s="53">
        <v>78</v>
      </c>
      <c r="K223" s="90">
        <f t="shared" si="1"/>
        <v>2.3529411764705882E-2</v>
      </c>
      <c r="L223" s="52">
        <v>3830</v>
      </c>
      <c r="M223" s="125">
        <f t="shared" si="2"/>
        <v>2.7921353638888688E-2</v>
      </c>
      <c r="N223" s="77"/>
      <c r="O223" s="85"/>
      <c r="P223" s="5"/>
      <c r="Q223" s="104"/>
    </row>
    <row r="224" spans="1:17" ht="15.6" x14ac:dyDescent="0.3">
      <c r="A224" s="24"/>
      <c r="B224" s="53" t="s">
        <v>87</v>
      </c>
      <c r="C224" s="89"/>
      <c r="D224" s="89"/>
      <c r="E224" s="89"/>
      <c r="F224" s="89"/>
      <c r="G224" s="89"/>
      <c r="H224" s="89"/>
      <c r="I224" s="89"/>
      <c r="J224" s="53">
        <v>31</v>
      </c>
      <c r="K224" s="90">
        <f t="shared" si="1"/>
        <v>9.3514328808446453E-3</v>
      </c>
      <c r="L224" s="52">
        <v>1579</v>
      </c>
      <c r="M224" s="125">
        <f t="shared" si="2"/>
        <v>1.151117947671155E-2</v>
      </c>
      <c r="N224" s="77"/>
      <c r="O224" s="85"/>
      <c r="P224" s="5"/>
    </row>
    <row r="225" spans="1:17" ht="15.6" x14ac:dyDescent="0.3">
      <c r="A225" s="24"/>
      <c r="B225" s="53" t="s">
        <v>145</v>
      </c>
      <c r="C225" s="89"/>
      <c r="D225" s="89"/>
      <c r="E225" s="89"/>
      <c r="F225" s="89"/>
      <c r="G225" s="89"/>
      <c r="H225" s="89"/>
      <c r="I225" s="89"/>
      <c r="J225" s="53">
        <v>29</v>
      </c>
      <c r="K225" s="90">
        <f t="shared" si="1"/>
        <v>8.7481146304675718E-3</v>
      </c>
      <c r="L225" s="52">
        <v>1509</v>
      </c>
      <c r="M225" s="125">
        <f t="shared" si="2"/>
        <v>1.1000867530308885E-2</v>
      </c>
      <c r="N225" s="77"/>
      <c r="O225" s="85"/>
      <c r="P225" s="5"/>
      <c r="Q225" s="104"/>
    </row>
    <row r="226" spans="1:17" ht="15.6" x14ac:dyDescent="0.3">
      <c r="A226" s="24"/>
      <c r="B226" s="53" t="s">
        <v>146</v>
      </c>
      <c r="C226" s="89"/>
      <c r="D226" s="89"/>
      <c r="E226" s="89"/>
      <c r="F226" s="89"/>
      <c r="G226" s="89"/>
      <c r="H226" s="89"/>
      <c r="I226" s="89"/>
      <c r="J226" s="53">
        <v>17</v>
      </c>
      <c r="K226" s="90">
        <f t="shared" si="1"/>
        <v>5.1282051282051282E-3</v>
      </c>
      <c r="L226" s="52">
        <v>985</v>
      </c>
      <c r="M226" s="125">
        <f t="shared" si="2"/>
        <v>7.1808181029517897E-3</v>
      </c>
      <c r="N226" s="77"/>
      <c r="O226" s="85"/>
      <c r="P226" s="5"/>
    </row>
    <row r="227" spans="1:17" ht="15.6" x14ac:dyDescent="0.3">
      <c r="A227" s="24"/>
      <c r="B227" s="53" t="s">
        <v>147</v>
      </c>
      <c r="C227" s="89"/>
      <c r="D227" s="89"/>
      <c r="E227" s="89"/>
      <c r="F227" s="89"/>
      <c r="G227" s="89"/>
      <c r="H227" s="89"/>
      <c r="I227" s="89"/>
      <c r="J227" s="53">
        <v>18</v>
      </c>
      <c r="K227" s="90">
        <f t="shared" si="1"/>
        <v>5.4298642533936649E-3</v>
      </c>
      <c r="L227" s="52">
        <v>916</v>
      </c>
      <c r="M227" s="125">
        <f t="shared" si="2"/>
        <v>6.6777963272120202E-3</v>
      </c>
      <c r="N227" s="77"/>
      <c r="O227" s="85"/>
      <c r="P227" s="5"/>
      <c r="Q227" s="104"/>
    </row>
    <row r="228" spans="1:17" ht="15.6" x14ac:dyDescent="0.3">
      <c r="A228" s="24"/>
      <c r="B228" s="53" t="s">
        <v>227</v>
      </c>
      <c r="C228" s="89"/>
      <c r="D228" s="89"/>
      <c r="E228" s="89"/>
      <c r="F228" s="89"/>
      <c r="G228" s="89"/>
      <c r="H228" s="89"/>
      <c r="I228" s="89"/>
      <c r="J228" s="53">
        <v>26</v>
      </c>
      <c r="K228" s="90">
        <f t="shared" si="1"/>
        <v>7.8431372549019607E-3</v>
      </c>
      <c r="L228" s="52">
        <v>1694</v>
      </c>
      <c r="M228" s="125">
        <f t="shared" si="2"/>
        <v>1.23495491029445E-2</v>
      </c>
      <c r="N228" s="77"/>
      <c r="O228" s="85"/>
      <c r="P228" s="5"/>
    </row>
    <row r="229" spans="1:17" ht="15.6" x14ac:dyDescent="0.3">
      <c r="A229" s="24"/>
      <c r="B229" s="53" t="s">
        <v>228</v>
      </c>
      <c r="C229" s="89"/>
      <c r="D229" s="89"/>
      <c r="E229" s="89"/>
      <c r="F229" s="89"/>
      <c r="G229" s="89"/>
      <c r="H229" s="89"/>
      <c r="I229" s="89"/>
      <c r="J229" s="53">
        <v>9</v>
      </c>
      <c r="K229" s="90">
        <f t="shared" si="1"/>
        <v>2.7149321266968325E-3</v>
      </c>
      <c r="L229" s="52">
        <v>523</v>
      </c>
      <c r="M229" s="125">
        <f t="shared" si="2"/>
        <v>3.8127592566941991E-3</v>
      </c>
      <c r="N229" s="77"/>
      <c r="O229" s="85"/>
      <c r="P229" s="5"/>
      <c r="Q229" s="104"/>
    </row>
    <row r="230" spans="1:17" ht="15.6" x14ac:dyDescent="0.3">
      <c r="A230" s="24"/>
      <c r="B230" s="53" t="s">
        <v>229</v>
      </c>
      <c r="C230" s="89"/>
      <c r="D230" s="89"/>
      <c r="E230" s="89"/>
      <c r="F230" s="89"/>
      <c r="G230" s="89"/>
      <c r="H230" s="89"/>
      <c r="I230" s="89"/>
      <c r="J230" s="53">
        <v>9</v>
      </c>
      <c r="K230" s="90">
        <f t="shared" si="1"/>
        <v>2.7149321266968325E-3</v>
      </c>
      <c r="L230" s="52">
        <v>571</v>
      </c>
      <c r="M230" s="125">
        <f t="shared" si="2"/>
        <v>4.1626874485131693E-3</v>
      </c>
      <c r="N230" s="77"/>
      <c r="O230" s="85"/>
      <c r="P230" s="5"/>
      <c r="Q230" s="104"/>
    </row>
    <row r="231" spans="1:17" ht="15.6" x14ac:dyDescent="0.3">
      <c r="A231" s="24"/>
      <c r="B231" s="53" t="s">
        <v>230</v>
      </c>
      <c r="C231" s="89"/>
      <c r="D231" s="89"/>
      <c r="E231" s="89"/>
      <c r="F231" s="89"/>
      <c r="G231" s="89"/>
      <c r="H231" s="89"/>
      <c r="I231" s="89"/>
      <c r="J231" s="53">
        <v>3</v>
      </c>
      <c r="K231" s="90">
        <f t="shared" si="1"/>
        <v>9.049773755656109E-4</v>
      </c>
      <c r="L231" s="52">
        <v>134</v>
      </c>
      <c r="M231" s="125">
        <f t="shared" si="2"/>
        <v>9.7688286882795933E-4</v>
      </c>
      <c r="N231" s="77"/>
      <c r="O231" s="85"/>
      <c r="P231" s="5"/>
      <c r="Q231" s="104"/>
    </row>
    <row r="232" spans="1:17" ht="15.6" x14ac:dyDescent="0.3">
      <c r="A232" s="24"/>
      <c r="B232" s="53" t="s">
        <v>231</v>
      </c>
      <c r="C232" s="89"/>
      <c r="D232" s="89"/>
      <c r="E232" s="89"/>
      <c r="F232" s="89"/>
      <c r="G232" s="89"/>
      <c r="H232" s="89"/>
      <c r="I232" s="89"/>
      <c r="J232" s="53">
        <v>1</v>
      </c>
      <c r="K232" s="90">
        <f t="shared" si="1"/>
        <v>3.0165912518853697E-4</v>
      </c>
      <c r="L232" s="52">
        <v>94</v>
      </c>
      <c r="M232" s="125">
        <f t="shared" si="2"/>
        <v>6.8527604231215049E-4</v>
      </c>
      <c r="N232" s="77"/>
      <c r="O232" s="85"/>
      <c r="P232" s="5"/>
      <c r="Q232" s="104"/>
    </row>
    <row r="233" spans="1:17" ht="15.6" x14ac:dyDescent="0.3">
      <c r="A233" s="24"/>
      <c r="B233" s="53" t="s">
        <v>232</v>
      </c>
      <c r="C233" s="89"/>
      <c r="D233" s="89"/>
      <c r="E233" s="89"/>
      <c r="F233" s="89"/>
      <c r="G233" s="89"/>
      <c r="H233" s="89"/>
      <c r="I233" s="89"/>
      <c r="J233" s="53">
        <v>3</v>
      </c>
      <c r="K233" s="90">
        <f t="shared" si="1"/>
        <v>9.049773755656109E-4</v>
      </c>
      <c r="L233" s="52">
        <v>1117</v>
      </c>
      <c r="M233" s="125">
        <f t="shared" si="2"/>
        <v>8.1431206304539584E-3</v>
      </c>
      <c r="N233" s="77"/>
      <c r="O233" s="85"/>
      <c r="P233" s="5"/>
      <c r="Q233" s="104"/>
    </row>
    <row r="234" spans="1:17" ht="15.6" x14ac:dyDescent="0.3">
      <c r="A234" s="24"/>
      <c r="B234" s="53" t="s">
        <v>233</v>
      </c>
      <c r="C234" s="89"/>
      <c r="D234" s="89"/>
      <c r="E234" s="89"/>
      <c r="F234" s="89"/>
      <c r="G234" s="89"/>
      <c r="H234" s="89"/>
      <c r="I234" s="89"/>
      <c r="J234" s="53">
        <v>4</v>
      </c>
      <c r="K234" s="90">
        <f t="shared" si="1"/>
        <v>1.2066365007541479E-3</v>
      </c>
      <c r="L234" s="52">
        <v>526</v>
      </c>
      <c r="M234" s="125">
        <f t="shared" si="2"/>
        <v>3.8346297686828847E-3</v>
      </c>
      <c r="N234" s="77"/>
      <c r="O234" s="85"/>
      <c r="P234" s="5"/>
      <c r="Q234" s="104"/>
    </row>
    <row r="235" spans="1:17" ht="15.6" x14ac:dyDescent="0.3">
      <c r="A235" s="24"/>
      <c r="B235" s="53"/>
      <c r="C235" s="89"/>
      <c r="D235" s="89"/>
      <c r="E235" s="89"/>
      <c r="F235" s="89"/>
      <c r="G235" s="89"/>
      <c r="H235" s="89"/>
      <c r="I235" s="89"/>
      <c r="J235" s="53"/>
      <c r="K235" s="90"/>
      <c r="L235" s="52"/>
      <c r="M235" s="125"/>
      <c r="N235" s="77"/>
      <c r="O235" s="85"/>
      <c r="P235" s="5"/>
      <c r="Q235" s="104"/>
    </row>
    <row r="236" spans="1:17" ht="15.6" x14ac:dyDescent="0.3">
      <c r="A236" s="24"/>
      <c r="B236" s="25"/>
      <c r="C236" s="25"/>
      <c r="D236" s="91"/>
      <c r="E236" s="91"/>
      <c r="F236" s="91"/>
      <c r="G236" s="91"/>
      <c r="H236" s="91"/>
      <c r="I236" s="91"/>
      <c r="J236" s="34">
        <f>SUM(J222:J235)</f>
        <v>3315</v>
      </c>
      <c r="K236" s="125">
        <f>SUM(K222:K235)</f>
        <v>0.99999999999999989</v>
      </c>
      <c r="L236" s="52">
        <f>SUM(L222:L235)</f>
        <v>137171</v>
      </c>
      <c r="M236" s="125">
        <f>SUM(M222:M235)</f>
        <v>1.0000000000000002</v>
      </c>
      <c r="N236" s="25"/>
      <c r="O236" s="25"/>
      <c r="P236" s="5"/>
    </row>
    <row r="237" spans="1:17" ht="15.6" x14ac:dyDescent="0.3">
      <c r="A237" s="24"/>
      <c r="B237" s="25"/>
      <c r="C237" s="25"/>
      <c r="D237" s="91"/>
      <c r="E237" s="91"/>
      <c r="F237" s="91"/>
      <c r="G237" s="91"/>
      <c r="H237" s="91"/>
      <c r="I237" s="91"/>
      <c r="J237" s="34"/>
      <c r="K237" s="125"/>
      <c r="L237" s="52"/>
      <c r="M237" s="125"/>
      <c r="N237" s="25"/>
      <c r="O237" s="25"/>
      <c r="P237" s="5"/>
    </row>
    <row r="238" spans="1:17" ht="15.6" x14ac:dyDescent="0.3">
      <c r="A238" s="133"/>
      <c r="B238" s="14" t="s">
        <v>204</v>
      </c>
      <c r="C238" s="79"/>
      <c r="D238" s="17"/>
      <c r="E238" s="17"/>
      <c r="F238" s="17"/>
      <c r="G238" s="17"/>
      <c r="H238" s="17"/>
      <c r="I238" s="17"/>
      <c r="J238" s="80" t="s">
        <v>99</v>
      </c>
      <c r="K238" s="17" t="s">
        <v>100</v>
      </c>
      <c r="L238" s="80" t="s">
        <v>108</v>
      </c>
      <c r="M238" s="17" t="s">
        <v>100</v>
      </c>
      <c r="N238" s="131"/>
      <c r="O238" s="132"/>
      <c r="P238" s="5"/>
    </row>
    <row r="239" spans="1:17" ht="15.6" x14ac:dyDescent="0.3">
      <c r="A239" s="24"/>
      <c r="B239" s="53" t="s">
        <v>85</v>
      </c>
      <c r="C239" s="89"/>
      <c r="D239" s="89"/>
      <c r="E239" s="89"/>
      <c r="F239" s="89"/>
      <c r="G239" s="89"/>
      <c r="H239" s="89"/>
      <c r="I239" s="89"/>
      <c r="J239" s="53">
        <v>1</v>
      </c>
      <c r="K239" s="90">
        <f t="shared" ref="K239:K251" si="3">J239/$J$253</f>
        <v>0.5</v>
      </c>
      <c r="L239" s="52">
        <v>28</v>
      </c>
      <c r="M239" s="90">
        <f t="shared" ref="M239:M251" si="4">L239/$L$253</f>
        <v>0.20289855072463769</v>
      </c>
      <c r="N239" s="25"/>
      <c r="O239" s="25"/>
      <c r="P239" s="5"/>
    </row>
    <row r="240" spans="1:17" ht="15.6" x14ac:dyDescent="0.3">
      <c r="A240" s="24"/>
      <c r="B240" s="53" t="s">
        <v>86</v>
      </c>
      <c r="C240" s="89"/>
      <c r="D240" s="89"/>
      <c r="E240" s="89"/>
      <c r="F240" s="89"/>
      <c r="G240" s="89"/>
      <c r="H240" s="89"/>
      <c r="I240" s="89"/>
      <c r="J240" s="53">
        <v>1</v>
      </c>
      <c r="K240" s="90">
        <f t="shared" si="3"/>
        <v>0.5</v>
      </c>
      <c r="L240" s="52">
        <v>110</v>
      </c>
      <c r="M240" s="90">
        <f t="shared" si="4"/>
        <v>0.79710144927536231</v>
      </c>
      <c r="N240" s="25"/>
      <c r="O240" s="25"/>
      <c r="P240" s="5"/>
    </row>
    <row r="241" spans="1:16" ht="15.6" x14ac:dyDescent="0.3">
      <c r="A241" s="24"/>
      <c r="B241" s="53" t="s">
        <v>87</v>
      </c>
      <c r="C241" s="89"/>
      <c r="D241" s="89"/>
      <c r="E241" s="89"/>
      <c r="F241" s="89"/>
      <c r="G241" s="89"/>
      <c r="H241" s="89"/>
      <c r="I241" s="89"/>
      <c r="J241" s="53">
        <v>0</v>
      </c>
      <c r="K241" s="90">
        <f t="shared" si="3"/>
        <v>0</v>
      </c>
      <c r="L241" s="52">
        <v>0</v>
      </c>
      <c r="M241" s="90">
        <f t="shared" si="4"/>
        <v>0</v>
      </c>
      <c r="N241" s="25"/>
      <c r="O241" s="25"/>
      <c r="P241" s="5"/>
    </row>
    <row r="242" spans="1:16" ht="15.6" x14ac:dyDescent="0.3">
      <c r="A242" s="24"/>
      <c r="B242" s="53" t="s">
        <v>145</v>
      </c>
      <c r="C242" s="89"/>
      <c r="D242" s="89"/>
      <c r="E242" s="89"/>
      <c r="F242" s="89"/>
      <c r="G242" s="89"/>
      <c r="H242" s="89"/>
      <c r="I242" s="89"/>
      <c r="J242" s="53">
        <v>0</v>
      </c>
      <c r="K242" s="90">
        <f t="shared" si="3"/>
        <v>0</v>
      </c>
      <c r="L242" s="52">
        <v>0</v>
      </c>
      <c r="M242" s="90">
        <f t="shared" si="4"/>
        <v>0</v>
      </c>
      <c r="N242" s="25"/>
      <c r="O242" s="25"/>
      <c r="P242" s="5"/>
    </row>
    <row r="243" spans="1:16" ht="15.6" x14ac:dyDescent="0.3">
      <c r="A243" s="24"/>
      <c r="B243" s="53" t="s">
        <v>146</v>
      </c>
      <c r="C243" s="89"/>
      <c r="D243" s="89"/>
      <c r="E243" s="89"/>
      <c r="F243" s="89"/>
      <c r="G243" s="89"/>
      <c r="H243" s="89"/>
      <c r="I243" s="89"/>
      <c r="J243" s="53">
        <v>0</v>
      </c>
      <c r="K243" s="90">
        <f t="shared" si="3"/>
        <v>0</v>
      </c>
      <c r="L243" s="52">
        <v>0</v>
      </c>
      <c r="M243" s="90">
        <f t="shared" si="4"/>
        <v>0</v>
      </c>
      <c r="N243" s="25"/>
      <c r="O243" s="25"/>
      <c r="P243" s="5"/>
    </row>
    <row r="244" spans="1:16" ht="15.6" x14ac:dyDescent="0.3">
      <c r="A244" s="24"/>
      <c r="B244" s="53" t="s">
        <v>147</v>
      </c>
      <c r="C244" s="89"/>
      <c r="D244" s="89"/>
      <c r="E244" s="89"/>
      <c r="F244" s="89"/>
      <c r="G244" s="89"/>
      <c r="H244" s="89"/>
      <c r="I244" s="89"/>
      <c r="J244" s="53">
        <v>0</v>
      </c>
      <c r="K244" s="90">
        <f t="shared" si="3"/>
        <v>0</v>
      </c>
      <c r="L244" s="52">
        <v>0</v>
      </c>
      <c r="M244" s="90">
        <f t="shared" si="4"/>
        <v>0</v>
      </c>
      <c r="N244" s="25"/>
      <c r="O244" s="25"/>
      <c r="P244" s="5"/>
    </row>
    <row r="245" spans="1:16" ht="15.6" x14ac:dyDescent="0.3">
      <c r="A245" s="24"/>
      <c r="B245" s="53" t="s">
        <v>227</v>
      </c>
      <c r="C245" s="89"/>
      <c r="D245" s="89"/>
      <c r="E245" s="89"/>
      <c r="F245" s="89"/>
      <c r="G245" s="89"/>
      <c r="H245" s="89"/>
      <c r="I245" s="89"/>
      <c r="J245" s="53">
        <v>0</v>
      </c>
      <c r="K245" s="90">
        <f t="shared" si="3"/>
        <v>0</v>
      </c>
      <c r="L245" s="52">
        <v>0</v>
      </c>
      <c r="M245" s="90">
        <f t="shared" si="4"/>
        <v>0</v>
      </c>
      <c r="N245" s="25"/>
      <c r="O245" s="25"/>
      <c r="P245" s="5"/>
    </row>
    <row r="246" spans="1:16" ht="15.6" x14ac:dyDescent="0.3">
      <c r="A246" s="24"/>
      <c r="B246" s="53" t="s">
        <v>228</v>
      </c>
      <c r="C246" s="89"/>
      <c r="D246" s="89"/>
      <c r="E246" s="89"/>
      <c r="F246" s="89"/>
      <c r="G246" s="89"/>
      <c r="H246" s="89"/>
      <c r="I246" s="89"/>
      <c r="J246" s="53">
        <v>0</v>
      </c>
      <c r="K246" s="90">
        <f t="shared" si="3"/>
        <v>0</v>
      </c>
      <c r="L246" s="52">
        <v>0</v>
      </c>
      <c r="M246" s="90">
        <f t="shared" si="4"/>
        <v>0</v>
      </c>
      <c r="N246" s="25"/>
      <c r="O246" s="25"/>
      <c r="P246" s="5"/>
    </row>
    <row r="247" spans="1:16" ht="15.6" x14ac:dyDescent="0.3">
      <c r="A247" s="24"/>
      <c r="B247" s="53" t="s">
        <v>229</v>
      </c>
      <c r="C247" s="89"/>
      <c r="D247" s="89"/>
      <c r="E247" s="89"/>
      <c r="F247" s="89"/>
      <c r="G247" s="89"/>
      <c r="H247" s="89"/>
      <c r="I247" s="89"/>
      <c r="J247" s="53">
        <v>0</v>
      </c>
      <c r="K247" s="90">
        <f t="shared" si="3"/>
        <v>0</v>
      </c>
      <c r="L247" s="52">
        <v>0</v>
      </c>
      <c r="M247" s="90">
        <f t="shared" si="4"/>
        <v>0</v>
      </c>
      <c r="N247" s="25"/>
      <c r="O247" s="25"/>
      <c r="P247" s="5"/>
    </row>
    <row r="248" spans="1:16" ht="15.6" x14ac:dyDescent="0.3">
      <c r="A248" s="24"/>
      <c r="B248" s="53" t="s">
        <v>230</v>
      </c>
      <c r="C248" s="89"/>
      <c r="D248" s="89"/>
      <c r="E248" s="89"/>
      <c r="F248" s="89"/>
      <c r="G248" s="89"/>
      <c r="H248" s="89"/>
      <c r="I248" s="89"/>
      <c r="J248" s="53">
        <v>0</v>
      </c>
      <c r="K248" s="90">
        <f t="shared" si="3"/>
        <v>0</v>
      </c>
      <c r="L248" s="52">
        <v>0</v>
      </c>
      <c r="M248" s="90">
        <f t="shared" si="4"/>
        <v>0</v>
      </c>
      <c r="N248" s="25"/>
      <c r="O248" s="25"/>
      <c r="P248" s="5"/>
    </row>
    <row r="249" spans="1:16" ht="15.6" x14ac:dyDescent="0.3">
      <c r="A249" s="24"/>
      <c r="B249" s="53" t="s">
        <v>231</v>
      </c>
      <c r="C249" s="89"/>
      <c r="D249" s="89"/>
      <c r="E249" s="89"/>
      <c r="F249" s="89"/>
      <c r="G249" s="89"/>
      <c r="H249" s="89"/>
      <c r="I249" s="89"/>
      <c r="J249" s="53">
        <v>0</v>
      </c>
      <c r="K249" s="90">
        <f t="shared" si="3"/>
        <v>0</v>
      </c>
      <c r="L249" s="52">
        <v>0</v>
      </c>
      <c r="M249" s="90">
        <f t="shared" si="4"/>
        <v>0</v>
      </c>
      <c r="N249" s="25"/>
      <c r="O249" s="25"/>
      <c r="P249" s="5"/>
    </row>
    <row r="250" spans="1:16" ht="15.6" x14ac:dyDescent="0.3">
      <c r="A250" s="24"/>
      <c r="B250" s="53" t="s">
        <v>232</v>
      </c>
      <c r="C250" s="89"/>
      <c r="D250" s="89"/>
      <c r="E250" s="89"/>
      <c r="F250" s="89"/>
      <c r="G250" s="89"/>
      <c r="H250" s="89"/>
      <c r="I250" s="89"/>
      <c r="J250" s="53">
        <v>0</v>
      </c>
      <c r="K250" s="90">
        <f t="shared" si="3"/>
        <v>0</v>
      </c>
      <c r="L250" s="52">
        <v>0</v>
      </c>
      <c r="M250" s="90">
        <f t="shared" si="4"/>
        <v>0</v>
      </c>
      <c r="N250" s="25"/>
      <c r="O250" s="25"/>
      <c r="P250" s="5"/>
    </row>
    <row r="251" spans="1:16" ht="15.6" x14ac:dyDescent="0.3">
      <c r="A251" s="24"/>
      <c r="B251" s="53" t="s">
        <v>233</v>
      </c>
      <c r="C251" s="89"/>
      <c r="D251" s="89"/>
      <c r="E251" s="89"/>
      <c r="F251" s="89"/>
      <c r="G251" s="89"/>
      <c r="H251" s="89"/>
      <c r="I251" s="89"/>
      <c r="J251" s="53">
        <v>0</v>
      </c>
      <c r="K251" s="90">
        <f t="shared" si="3"/>
        <v>0</v>
      </c>
      <c r="L251" s="52">
        <v>0</v>
      </c>
      <c r="M251" s="90">
        <f t="shared" si="4"/>
        <v>0</v>
      </c>
      <c r="N251" s="25"/>
      <c r="O251" s="25"/>
      <c r="P251" s="5"/>
    </row>
    <row r="252" spans="1:16" ht="15.6" x14ac:dyDescent="0.3">
      <c r="A252" s="24"/>
      <c r="B252" s="53"/>
      <c r="C252" s="89"/>
      <c r="D252" s="89"/>
      <c r="E252" s="89"/>
      <c r="F252" s="89"/>
      <c r="G252" s="89"/>
      <c r="H252" s="89"/>
      <c r="I252" s="89"/>
      <c r="J252" s="53"/>
      <c r="K252" s="90"/>
      <c r="L252" s="52"/>
      <c r="M252" s="125"/>
      <c r="N252" s="25"/>
      <c r="O252" s="25"/>
      <c r="P252" s="5"/>
    </row>
    <row r="253" spans="1:16" ht="15.6" x14ac:dyDescent="0.3">
      <c r="A253" s="24"/>
      <c r="B253" s="25"/>
      <c r="C253" s="25"/>
      <c r="D253" s="91"/>
      <c r="E253" s="91"/>
      <c r="F253" s="91"/>
      <c r="G253" s="91"/>
      <c r="H253" s="91"/>
      <c r="I253" s="91"/>
      <c r="J253" s="34">
        <f>SUM(J239:J252)</f>
        <v>2</v>
      </c>
      <c r="K253" s="125">
        <f>SUM(K239:K252)</f>
        <v>1</v>
      </c>
      <c r="L253" s="52">
        <f>SUM(L239:L252)</f>
        <v>138</v>
      </c>
      <c r="M253" s="125">
        <f>SUM(M239:M252)</f>
        <v>1</v>
      </c>
      <c r="N253" s="25"/>
      <c r="O253" s="25"/>
      <c r="P253" s="5"/>
    </row>
    <row r="254" spans="1:16" ht="15.6" x14ac:dyDescent="0.3">
      <c r="A254" s="24"/>
      <c r="B254" s="25"/>
      <c r="C254" s="25"/>
      <c r="D254" s="91"/>
      <c r="E254" s="91"/>
      <c r="F254" s="91"/>
      <c r="G254" s="91"/>
      <c r="H254" s="91"/>
      <c r="I254" s="91"/>
      <c r="J254" s="34"/>
      <c r="K254" s="125"/>
      <c r="L254" s="52"/>
      <c r="M254" s="125"/>
      <c r="N254" s="25"/>
      <c r="O254" s="25"/>
      <c r="P254" s="5"/>
    </row>
    <row r="255" spans="1:16" ht="15.6" x14ac:dyDescent="0.3">
      <c r="A255" s="133"/>
      <c r="B255" s="14" t="s">
        <v>150</v>
      </c>
      <c r="C255" s="131"/>
      <c r="D255" s="137"/>
      <c r="E255" s="137"/>
      <c r="F255" s="137"/>
      <c r="G255" s="137"/>
      <c r="H255" s="137"/>
      <c r="I255" s="137"/>
      <c r="J255" s="80" t="s">
        <v>99</v>
      </c>
      <c r="K255" s="17" t="s">
        <v>100</v>
      </c>
      <c r="L255" s="80" t="s">
        <v>108</v>
      </c>
      <c r="M255" s="17" t="s">
        <v>100</v>
      </c>
      <c r="N255" s="131"/>
      <c r="O255" s="132"/>
      <c r="P255" s="5"/>
    </row>
    <row r="256" spans="1:16" ht="15.6" x14ac:dyDescent="0.3">
      <c r="A256" s="24"/>
      <c r="B256" s="53" t="s">
        <v>85</v>
      </c>
      <c r="C256" s="25"/>
      <c r="D256" s="91"/>
      <c r="E256" s="91"/>
      <c r="F256" s="91"/>
      <c r="G256" s="91"/>
      <c r="H256" s="91"/>
      <c r="I256" s="91"/>
      <c r="J256" s="53">
        <v>0</v>
      </c>
      <c r="K256" s="90">
        <f t="shared" ref="K256:K268" si="5">J256/$J$270</f>
        <v>0</v>
      </c>
      <c r="L256" s="52">
        <v>0</v>
      </c>
      <c r="M256" s="125">
        <f t="shared" ref="M256:M268" si="6">L256/$L$270</f>
        <v>0</v>
      </c>
      <c r="N256" s="25"/>
      <c r="O256" s="25"/>
      <c r="P256" s="5"/>
    </row>
    <row r="257" spans="1:16" ht="15.6" x14ac:dyDescent="0.3">
      <c r="A257" s="24"/>
      <c r="B257" s="53" t="s">
        <v>86</v>
      </c>
      <c r="C257" s="25"/>
      <c r="D257" s="91"/>
      <c r="E257" s="91"/>
      <c r="F257" s="91"/>
      <c r="G257" s="91"/>
      <c r="H257" s="91"/>
      <c r="I257" s="91"/>
      <c r="J257" s="53">
        <v>0</v>
      </c>
      <c r="K257" s="90">
        <f t="shared" si="5"/>
        <v>0</v>
      </c>
      <c r="L257" s="52">
        <v>0</v>
      </c>
      <c r="M257" s="125">
        <f t="shared" si="6"/>
        <v>0</v>
      </c>
      <c r="N257" s="25"/>
      <c r="O257" s="25"/>
      <c r="P257" s="5"/>
    </row>
    <row r="258" spans="1:16" ht="15.6" x14ac:dyDescent="0.3">
      <c r="A258" s="24"/>
      <c r="B258" s="53" t="s">
        <v>87</v>
      </c>
      <c r="C258" s="25"/>
      <c r="D258" s="91"/>
      <c r="E258" s="91"/>
      <c r="F258" s="91"/>
      <c r="G258" s="91"/>
      <c r="H258" s="91"/>
      <c r="I258" s="91"/>
      <c r="J258" s="53">
        <v>0</v>
      </c>
      <c r="K258" s="90">
        <f t="shared" si="5"/>
        <v>0</v>
      </c>
      <c r="L258" s="52">
        <v>0</v>
      </c>
      <c r="M258" s="125">
        <f t="shared" si="6"/>
        <v>0</v>
      </c>
      <c r="N258" s="25"/>
      <c r="O258" s="25"/>
      <c r="P258" s="5"/>
    </row>
    <row r="259" spans="1:16" ht="15.6" x14ac:dyDescent="0.3">
      <c r="A259" s="24"/>
      <c r="B259" s="53" t="s">
        <v>145</v>
      </c>
      <c r="C259" s="25"/>
      <c r="D259" s="91"/>
      <c r="E259" s="91"/>
      <c r="F259" s="91"/>
      <c r="G259" s="91"/>
      <c r="H259" s="91"/>
      <c r="I259" s="91"/>
      <c r="J259" s="53">
        <v>1</v>
      </c>
      <c r="K259" s="90">
        <f t="shared" si="5"/>
        <v>0.33333333333333331</v>
      </c>
      <c r="L259" s="52">
        <v>54</v>
      </c>
      <c r="M259" s="125">
        <f t="shared" si="6"/>
        <v>0.29508196721311475</v>
      </c>
      <c r="N259" s="25"/>
      <c r="O259" s="25"/>
      <c r="P259" s="5"/>
    </row>
    <row r="260" spans="1:16" ht="15.6" x14ac:dyDescent="0.3">
      <c r="A260" s="24"/>
      <c r="B260" s="53" t="s">
        <v>146</v>
      </c>
      <c r="C260" s="25"/>
      <c r="D260" s="91"/>
      <c r="E260" s="91"/>
      <c r="F260" s="91"/>
      <c r="G260" s="91"/>
      <c r="H260" s="91"/>
      <c r="I260" s="91"/>
      <c r="J260" s="53">
        <v>0</v>
      </c>
      <c r="K260" s="90">
        <f t="shared" si="5"/>
        <v>0</v>
      </c>
      <c r="L260" s="52">
        <v>0</v>
      </c>
      <c r="M260" s="125">
        <f t="shared" si="6"/>
        <v>0</v>
      </c>
      <c r="N260" s="25"/>
      <c r="O260" s="25"/>
      <c r="P260" s="5"/>
    </row>
    <row r="261" spans="1:16" ht="15.6" x14ac:dyDescent="0.3">
      <c r="A261" s="24"/>
      <c r="B261" s="53" t="s">
        <v>147</v>
      </c>
      <c r="C261" s="25"/>
      <c r="D261" s="91"/>
      <c r="E261" s="91"/>
      <c r="F261" s="91"/>
      <c r="G261" s="91"/>
      <c r="H261" s="91"/>
      <c r="I261" s="91"/>
      <c r="J261" s="53">
        <v>0</v>
      </c>
      <c r="K261" s="90">
        <f t="shared" si="5"/>
        <v>0</v>
      </c>
      <c r="L261" s="52">
        <v>0</v>
      </c>
      <c r="M261" s="125">
        <f t="shared" si="6"/>
        <v>0</v>
      </c>
      <c r="N261" s="25"/>
      <c r="O261" s="25"/>
      <c r="P261" s="5"/>
    </row>
    <row r="262" spans="1:16" ht="15.6" x14ac:dyDescent="0.3">
      <c r="A262" s="24"/>
      <c r="B262" s="53" t="s">
        <v>227</v>
      </c>
      <c r="C262" s="25"/>
      <c r="D262" s="91"/>
      <c r="E262" s="91"/>
      <c r="F262" s="91"/>
      <c r="G262" s="91"/>
      <c r="H262" s="91"/>
      <c r="I262" s="91"/>
      <c r="J262" s="53">
        <v>0</v>
      </c>
      <c r="K262" s="90">
        <f t="shared" si="5"/>
        <v>0</v>
      </c>
      <c r="L262" s="52">
        <v>0</v>
      </c>
      <c r="M262" s="125">
        <f t="shared" si="6"/>
        <v>0</v>
      </c>
      <c r="N262" s="25"/>
      <c r="O262" s="25"/>
      <c r="P262" s="5"/>
    </row>
    <row r="263" spans="1:16" ht="15.6" x14ac:dyDescent="0.3">
      <c r="A263" s="24"/>
      <c r="B263" s="53" t="s">
        <v>228</v>
      </c>
      <c r="C263" s="25"/>
      <c r="D263" s="91"/>
      <c r="E263" s="91"/>
      <c r="F263" s="91"/>
      <c r="G263" s="91"/>
      <c r="H263" s="91"/>
      <c r="I263" s="91"/>
      <c r="J263" s="53">
        <v>0</v>
      </c>
      <c r="K263" s="90">
        <f t="shared" si="5"/>
        <v>0</v>
      </c>
      <c r="L263" s="52">
        <v>0</v>
      </c>
      <c r="M263" s="125">
        <f t="shared" si="6"/>
        <v>0</v>
      </c>
      <c r="N263" s="25"/>
      <c r="O263" s="25"/>
      <c r="P263" s="5"/>
    </row>
    <row r="264" spans="1:16" ht="15.6" x14ac:dyDescent="0.3">
      <c r="A264" s="24"/>
      <c r="B264" s="53" t="s">
        <v>229</v>
      </c>
      <c r="C264" s="25"/>
      <c r="D264" s="91"/>
      <c r="E264" s="91"/>
      <c r="F264" s="91"/>
      <c r="G264" s="91"/>
      <c r="H264" s="91"/>
      <c r="I264" s="91"/>
      <c r="J264" s="53">
        <v>0</v>
      </c>
      <c r="K264" s="90">
        <f t="shared" si="5"/>
        <v>0</v>
      </c>
      <c r="L264" s="52">
        <v>0</v>
      </c>
      <c r="M264" s="125">
        <f t="shared" si="6"/>
        <v>0</v>
      </c>
      <c r="N264" s="25"/>
      <c r="O264" s="25"/>
      <c r="P264" s="5"/>
    </row>
    <row r="265" spans="1:16" ht="15.6" x14ac:dyDescent="0.3">
      <c r="A265" s="24"/>
      <c r="B265" s="53" t="s">
        <v>230</v>
      </c>
      <c r="C265" s="25"/>
      <c r="D265" s="91"/>
      <c r="E265" s="91"/>
      <c r="F265" s="91"/>
      <c r="G265" s="91"/>
      <c r="H265" s="91"/>
      <c r="I265" s="91"/>
      <c r="J265" s="53">
        <v>1</v>
      </c>
      <c r="K265" s="90">
        <f t="shared" si="5"/>
        <v>0.33333333333333331</v>
      </c>
      <c r="L265" s="52">
        <v>107</v>
      </c>
      <c r="M265" s="125">
        <f t="shared" si="6"/>
        <v>0.58469945355191255</v>
      </c>
      <c r="N265" s="25"/>
      <c r="O265" s="25"/>
      <c r="P265" s="5"/>
    </row>
    <row r="266" spans="1:16" ht="15.6" x14ac:dyDescent="0.3">
      <c r="A266" s="24"/>
      <c r="B266" s="53" t="s">
        <v>231</v>
      </c>
      <c r="C266" s="25"/>
      <c r="D266" s="91"/>
      <c r="E266" s="91"/>
      <c r="F266" s="91"/>
      <c r="G266" s="91"/>
      <c r="H266" s="91"/>
      <c r="I266" s="91"/>
      <c r="J266" s="53">
        <v>0</v>
      </c>
      <c r="K266" s="90">
        <f t="shared" si="5"/>
        <v>0</v>
      </c>
      <c r="L266" s="52">
        <v>0</v>
      </c>
      <c r="M266" s="125">
        <f t="shared" si="6"/>
        <v>0</v>
      </c>
      <c r="N266" s="25"/>
      <c r="O266" s="25"/>
      <c r="P266" s="5"/>
    </row>
    <row r="267" spans="1:16" ht="15.6" x14ac:dyDescent="0.3">
      <c r="A267" s="24"/>
      <c r="B267" s="53" t="s">
        <v>232</v>
      </c>
      <c r="C267" s="25"/>
      <c r="D267" s="91"/>
      <c r="E267" s="91"/>
      <c r="F267" s="91"/>
      <c r="G267" s="91"/>
      <c r="H267" s="91"/>
      <c r="I267" s="91"/>
      <c r="J267" s="53">
        <v>0</v>
      </c>
      <c r="K267" s="90">
        <f t="shared" si="5"/>
        <v>0</v>
      </c>
      <c r="L267" s="52">
        <v>0</v>
      </c>
      <c r="M267" s="125">
        <f t="shared" si="6"/>
        <v>0</v>
      </c>
      <c r="N267" s="25"/>
      <c r="O267" s="25"/>
      <c r="P267" s="5"/>
    </row>
    <row r="268" spans="1:16" ht="15.6" x14ac:dyDescent="0.3">
      <c r="A268" s="24"/>
      <c r="B268" s="53" t="s">
        <v>233</v>
      </c>
      <c r="C268" s="25"/>
      <c r="D268" s="91"/>
      <c r="E268" s="91"/>
      <c r="F268" s="91"/>
      <c r="G268" s="91"/>
      <c r="H268" s="91"/>
      <c r="I268" s="91"/>
      <c r="J268" s="53">
        <v>1</v>
      </c>
      <c r="K268" s="90">
        <f t="shared" si="5"/>
        <v>0.33333333333333331</v>
      </c>
      <c r="L268" s="52">
        <v>22</v>
      </c>
      <c r="M268" s="125">
        <f t="shared" si="6"/>
        <v>0.12021857923497267</v>
      </c>
      <c r="N268" s="25"/>
      <c r="O268" s="25"/>
      <c r="P268" s="5"/>
    </row>
    <row r="269" spans="1:16" ht="15.6" x14ac:dyDescent="0.3">
      <c r="A269" s="24"/>
      <c r="B269" s="53"/>
      <c r="C269" s="25"/>
      <c r="D269" s="91"/>
      <c r="E269" s="91"/>
      <c r="F269" s="91"/>
      <c r="G269" s="91"/>
      <c r="H269" s="91"/>
      <c r="I269" s="91"/>
      <c r="J269" s="53"/>
      <c r="K269" s="90"/>
      <c r="L269" s="52"/>
      <c r="M269" s="125"/>
      <c r="N269" s="25"/>
      <c r="O269" s="25"/>
      <c r="P269" s="5"/>
    </row>
    <row r="270" spans="1:16" ht="15.6" x14ac:dyDescent="0.3">
      <c r="A270" s="24"/>
      <c r="B270" s="25" t="s">
        <v>114</v>
      </c>
      <c r="C270" s="25"/>
      <c r="D270" s="91"/>
      <c r="E270" s="91"/>
      <c r="F270" s="91"/>
      <c r="G270" s="91"/>
      <c r="H270" s="91"/>
      <c r="I270" s="91"/>
      <c r="J270" s="34">
        <f>SUM(J256:J268)</f>
        <v>3</v>
      </c>
      <c r="K270" s="90">
        <f>SUM(K256:K268)</f>
        <v>1</v>
      </c>
      <c r="L270" s="52">
        <f>SUM(L256:L268)</f>
        <v>183</v>
      </c>
      <c r="M270" s="125">
        <f>SUM(M256:M268)</f>
        <v>1</v>
      </c>
      <c r="N270" s="25"/>
      <c r="O270" s="25"/>
      <c r="P270" s="5"/>
    </row>
    <row r="271" spans="1:16" ht="15.6" x14ac:dyDescent="0.3">
      <c r="A271" s="24"/>
      <c r="B271" s="25"/>
      <c r="C271" s="25"/>
      <c r="D271" s="91"/>
      <c r="E271" s="91"/>
      <c r="F271" s="91"/>
      <c r="G271" s="91"/>
      <c r="H271" s="91"/>
      <c r="I271" s="91"/>
      <c r="J271" s="34"/>
      <c r="K271" s="125"/>
      <c r="L271" s="52"/>
      <c r="M271" s="125"/>
      <c r="N271" s="25"/>
      <c r="O271" s="25"/>
      <c r="P271" s="5"/>
    </row>
    <row r="272" spans="1:16" ht="15.6" x14ac:dyDescent="0.3">
      <c r="A272" s="24"/>
      <c r="B272" s="134" t="s">
        <v>151</v>
      </c>
      <c r="C272" s="25"/>
      <c r="D272" s="91"/>
      <c r="E272" s="91"/>
      <c r="F272" s="91"/>
      <c r="G272" s="91"/>
      <c r="H272" s="91"/>
      <c r="I272" s="91"/>
      <c r="J272" s="149">
        <f>J270+J253+J236</f>
        <v>3320</v>
      </c>
      <c r="K272" s="135"/>
      <c r="L272" s="136">
        <f>+L270+L253+L236</f>
        <v>137492</v>
      </c>
      <c r="M272" s="135"/>
      <c r="N272" s="25"/>
      <c r="O272" s="25"/>
      <c r="P272" s="5"/>
    </row>
    <row r="273" spans="1:16" ht="15.6" x14ac:dyDescent="0.3">
      <c r="A273" s="24"/>
      <c r="B273" s="25"/>
      <c r="C273" s="25"/>
      <c r="D273" s="91"/>
      <c r="E273" s="91"/>
      <c r="F273" s="91"/>
      <c r="G273" s="91"/>
      <c r="H273" s="91"/>
      <c r="I273" s="91"/>
      <c r="J273" s="91"/>
      <c r="K273" s="91"/>
      <c r="L273" s="52"/>
      <c r="M273" s="91"/>
      <c r="N273" s="25"/>
      <c r="O273" s="25"/>
      <c r="P273" s="5"/>
    </row>
    <row r="274" spans="1:16" ht="15.6" x14ac:dyDescent="0.3">
      <c r="A274" s="6"/>
      <c r="B274" s="8"/>
      <c r="C274" s="8"/>
      <c r="D274" s="92"/>
      <c r="E274" s="92"/>
      <c r="F274" s="92"/>
      <c r="G274" s="92"/>
      <c r="H274" s="92"/>
      <c r="I274" s="92"/>
      <c r="J274" s="92"/>
      <c r="K274" s="92"/>
      <c r="L274" s="93"/>
      <c r="M274" s="92"/>
      <c r="N274" s="8"/>
      <c r="O274" s="8"/>
      <c r="P274" s="5"/>
    </row>
    <row r="275" spans="1:16" ht="15.6" x14ac:dyDescent="0.3">
      <c r="A275" s="179"/>
      <c r="B275" s="14" t="s">
        <v>88</v>
      </c>
      <c r="C275" s="15"/>
      <c r="D275" s="17" t="s">
        <v>94</v>
      </c>
      <c r="E275" s="15"/>
      <c r="F275" s="14" t="s">
        <v>96</v>
      </c>
      <c r="G275" s="174"/>
      <c r="H275" s="174"/>
      <c r="I275" s="174"/>
      <c r="J275" s="17"/>
      <c r="K275" s="15"/>
      <c r="L275" s="14"/>
      <c r="M275" s="174"/>
      <c r="N275" s="174"/>
      <c r="O275" s="174"/>
      <c r="P275" s="5"/>
    </row>
    <row r="276" spans="1:16" ht="15.6" x14ac:dyDescent="0.3">
      <c r="A276" s="179"/>
      <c r="B276" s="174"/>
      <c r="C276" s="8"/>
      <c r="D276" s="8"/>
      <c r="E276" s="8"/>
      <c r="F276" s="8"/>
      <c r="G276" s="174"/>
      <c r="H276" s="174"/>
      <c r="I276" s="174"/>
      <c r="J276" s="8"/>
      <c r="K276" s="8"/>
      <c r="L276" s="8"/>
      <c r="M276" s="174"/>
      <c r="N276" s="174"/>
      <c r="O276" s="174"/>
      <c r="P276" s="5"/>
    </row>
    <row r="277" spans="1:16" ht="15.6" x14ac:dyDescent="0.3">
      <c r="A277" s="179"/>
      <c r="B277" s="13" t="s">
        <v>89</v>
      </c>
      <c r="C277" s="13"/>
      <c r="D277" s="123" t="s">
        <v>138</v>
      </c>
      <c r="E277" s="13"/>
      <c r="F277" s="13" t="s">
        <v>141</v>
      </c>
      <c r="G277" s="174"/>
      <c r="H277" s="174"/>
      <c r="I277" s="174"/>
      <c r="J277" s="123"/>
      <c r="K277" s="13"/>
      <c r="L277" s="13"/>
      <c r="M277" s="174"/>
      <c r="N277" s="174"/>
      <c r="O277" s="174"/>
      <c r="P277" s="5"/>
    </row>
    <row r="278" spans="1:16" ht="15.6" x14ac:dyDescent="0.3">
      <c r="A278" s="13"/>
      <c r="B278" s="13" t="s">
        <v>239</v>
      </c>
      <c r="C278" s="13"/>
      <c r="D278" s="123" t="s">
        <v>240</v>
      </c>
      <c r="E278" s="123"/>
      <c r="F278" s="13" t="s">
        <v>241</v>
      </c>
      <c r="G278" s="13"/>
      <c r="H278" s="174"/>
      <c r="I278" s="174"/>
      <c r="J278" s="123"/>
      <c r="K278" s="13"/>
      <c r="L278" s="13"/>
      <c r="M278" s="174"/>
      <c r="N278" s="174"/>
      <c r="O278" s="174"/>
      <c r="P278" s="5"/>
    </row>
    <row r="279" spans="1:16" ht="15.6" x14ac:dyDescent="0.3">
      <c r="A279" s="179"/>
      <c r="B279" s="13" t="s">
        <v>90</v>
      </c>
      <c r="C279" s="13"/>
      <c r="D279" s="123" t="s">
        <v>137</v>
      </c>
      <c r="E279" s="13"/>
      <c r="F279" s="13" t="s">
        <v>142</v>
      </c>
      <c r="G279" s="174"/>
      <c r="H279" s="174"/>
      <c r="I279" s="174"/>
      <c r="J279" s="123"/>
      <c r="K279" s="13"/>
      <c r="L279" s="13"/>
      <c r="M279" s="174"/>
      <c r="N279" s="174"/>
      <c r="O279" s="174"/>
      <c r="P279" s="5"/>
    </row>
    <row r="280" spans="1:16" ht="15.6" x14ac:dyDescent="0.3">
      <c r="A280" s="179"/>
      <c r="B280" s="13"/>
      <c r="C280" s="13"/>
      <c r="D280" s="174"/>
      <c r="E280" s="174"/>
      <c r="F280" s="174"/>
      <c r="G280" s="174"/>
      <c r="H280" s="174"/>
      <c r="I280" s="174"/>
      <c r="J280" s="174"/>
      <c r="K280" s="174"/>
      <c r="L280" s="174"/>
      <c r="M280" s="174"/>
      <c r="N280" s="174"/>
      <c r="O280" s="174"/>
      <c r="P280" s="5"/>
    </row>
    <row r="281" spans="1:16" ht="15.6" x14ac:dyDescent="0.3">
      <c r="A281" s="179"/>
      <c r="B281" s="13"/>
      <c r="C281" s="13"/>
      <c r="D281" s="174"/>
      <c r="E281" s="174"/>
      <c r="F281" s="174"/>
      <c r="G281" s="174"/>
      <c r="H281" s="174"/>
      <c r="I281" s="174"/>
      <c r="J281" s="174"/>
      <c r="K281" s="174"/>
      <c r="L281" s="174"/>
      <c r="M281" s="174"/>
      <c r="N281" s="174"/>
      <c r="O281" s="174"/>
      <c r="P281" s="5"/>
    </row>
    <row r="282" spans="1:16" ht="18" thickBot="1" x14ac:dyDescent="0.35">
      <c r="A282" s="179"/>
      <c r="B282" s="48" t="str">
        <f>B183</f>
        <v>FF7 INVESTOR REPORT QUARTER ENDING MAY 2009</v>
      </c>
      <c r="C282" s="13"/>
      <c r="D282" s="174"/>
      <c r="E282" s="174"/>
      <c r="F282" s="174"/>
      <c r="G282" s="174"/>
      <c r="H282" s="174"/>
      <c r="I282" s="174"/>
      <c r="J282" s="174"/>
      <c r="K282" s="174"/>
      <c r="L282" s="174"/>
      <c r="M282" s="174"/>
      <c r="N282" s="174"/>
      <c r="O282" s="174"/>
      <c r="P282" s="5"/>
    </row>
    <row r="283" spans="1:16" x14ac:dyDescent="0.25">
      <c r="A283" s="95"/>
      <c r="B283" s="95"/>
      <c r="C283" s="95"/>
      <c r="D283" s="95"/>
      <c r="E283" s="95"/>
      <c r="F283" s="95"/>
      <c r="G283" s="95"/>
      <c r="H283" s="95"/>
      <c r="I283" s="95"/>
      <c r="J283" s="95"/>
      <c r="K283" s="95"/>
      <c r="L283" s="95"/>
      <c r="M283" s="95"/>
      <c r="N283" s="95"/>
      <c r="O283" s="95"/>
    </row>
  </sheetData>
  <phoneticPr fontId="0" type="noConversion"/>
  <printOptions horizontalCentered="1" verticalCentered="1"/>
  <pageMargins left="0.19685039370078741" right="0.19685039370078741" top="0.27559055118110237" bottom="0.27559055118110237" header="0" footer="0"/>
  <pageSetup scale="36" orientation="landscape" r:id="rId1"/>
  <headerFooter alignWithMargins="0"/>
  <rowBreaks count="3" manualBreakCount="3">
    <brk id="52" max="14" man="1"/>
    <brk id="116" max="14" man="1"/>
    <brk id="183"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246</vt:i4>
      </vt:variant>
    </vt:vector>
  </HeadingPairs>
  <TitlesOfParts>
    <vt:vector size="295" baseType="lpstr">
      <vt:lpstr>May 07</vt:lpstr>
      <vt:lpstr>Aug 07</vt:lpstr>
      <vt:lpstr>Nov 07</vt:lpstr>
      <vt:lpstr>February 08</vt:lpstr>
      <vt:lpstr>May 08</vt:lpstr>
      <vt:lpstr>Aug 08</vt:lpstr>
      <vt:lpstr>Nov 08</vt:lpstr>
      <vt:lpstr>Feb 09</vt:lpstr>
      <vt:lpstr>May 09</vt:lpstr>
      <vt:lpstr>Aug 09</vt:lpstr>
      <vt:lpstr>Nov 09</vt:lpstr>
      <vt:lpstr>Feb 10</vt:lpstr>
      <vt:lpstr>May 10</vt:lpstr>
      <vt:lpstr>Aug 10</vt:lpstr>
      <vt:lpstr>Nov 10</vt:lpstr>
      <vt:lpstr>Feb 11</vt:lpstr>
      <vt:lpstr>May 11</vt:lpstr>
      <vt:lpstr>Aug 11</vt:lpstr>
      <vt:lpstr>Nov 11</vt:lpstr>
      <vt:lpstr>Feb 12</vt:lpstr>
      <vt:lpstr>May 12</vt:lpstr>
      <vt:lpstr>Aug 12</vt:lpstr>
      <vt:lpstr>Nov 12</vt:lpstr>
      <vt:lpstr>Feb 13</vt:lpstr>
      <vt:lpstr>May 13</vt:lpstr>
      <vt:lpstr>Aug 13</vt:lpstr>
      <vt:lpstr>Nov 13</vt:lpstr>
      <vt:lpstr>Feb 14</vt:lpstr>
      <vt:lpstr>May 14</vt:lpstr>
      <vt:lpstr>August 14</vt:lpstr>
      <vt:lpstr>Nov 14</vt:lpstr>
      <vt:lpstr>Feb 15</vt:lpstr>
      <vt:lpstr>May 15</vt:lpstr>
      <vt:lpstr>Aug 15</vt:lpstr>
      <vt:lpstr>Nov 15</vt:lpstr>
      <vt:lpstr>Feb 16</vt:lpstr>
      <vt:lpstr>May 16</vt:lpstr>
      <vt:lpstr>Aug 16</vt:lpstr>
      <vt:lpstr>Nov 16</vt:lpstr>
      <vt:lpstr>Feb 17</vt:lpstr>
      <vt:lpstr>May 17</vt:lpstr>
      <vt:lpstr>Aug 17</vt:lpstr>
      <vt:lpstr>Nov 17</vt:lpstr>
      <vt:lpstr>Feb 18</vt:lpstr>
      <vt:lpstr>May 18</vt:lpstr>
      <vt:lpstr>Aug 18</vt:lpstr>
      <vt:lpstr>Nov 18</vt:lpstr>
      <vt:lpstr>Feb 19</vt:lpstr>
      <vt:lpstr>May 19</vt:lpstr>
      <vt:lpstr>'May 13'!_100PAGE_4</vt:lpstr>
      <vt:lpstr>'Nov 07'!_101PAGE_4</vt:lpstr>
      <vt:lpstr>'Nov 08'!_102PAGE_4</vt:lpstr>
      <vt:lpstr>'Nov 09'!_103PAGE_4</vt:lpstr>
      <vt:lpstr>'Nov 10'!_104PAGE_4</vt:lpstr>
      <vt:lpstr>'Nov 11'!_105PAGE_4</vt:lpstr>
      <vt:lpstr>'Nov 12'!_106PAGE_4</vt:lpstr>
      <vt:lpstr>'Aug 15'!_107PAGE_4</vt:lpstr>
      <vt:lpstr>'Aug 16'!_107PAGE_4</vt:lpstr>
      <vt:lpstr>'Aug 17'!_107PAGE_4</vt:lpstr>
      <vt:lpstr>'Aug 18'!_107PAGE_4</vt:lpstr>
      <vt:lpstr>'August 14'!_107PAGE_4</vt:lpstr>
      <vt:lpstr>'Feb 14'!_107PAGE_4</vt:lpstr>
      <vt:lpstr>'Feb 15'!_107PAGE_4</vt:lpstr>
      <vt:lpstr>'Feb 16'!_107PAGE_4</vt:lpstr>
      <vt:lpstr>'Feb 17'!_107PAGE_4</vt:lpstr>
      <vt:lpstr>'Feb 18'!_107PAGE_4</vt:lpstr>
      <vt:lpstr>'Feb 19'!_107PAGE_4</vt:lpstr>
      <vt:lpstr>'May 14'!_107PAGE_4</vt:lpstr>
      <vt:lpstr>'May 15'!_107PAGE_4</vt:lpstr>
      <vt:lpstr>'May 16'!_107PAGE_4</vt:lpstr>
      <vt:lpstr>'May 17'!_107PAGE_4</vt:lpstr>
      <vt:lpstr>'May 18'!_107PAGE_4</vt:lpstr>
      <vt:lpstr>'May 19'!_107PAGE_4</vt:lpstr>
      <vt:lpstr>'Nov 13'!_107PAGE_4</vt:lpstr>
      <vt:lpstr>'Nov 14'!_107PAGE_4</vt:lpstr>
      <vt:lpstr>'Nov 15'!_107PAGE_4</vt:lpstr>
      <vt:lpstr>'Nov 16'!_107PAGE_4</vt:lpstr>
      <vt:lpstr>'Nov 17'!_107PAGE_4</vt:lpstr>
      <vt:lpstr>'Nov 18'!_107PAGE_4</vt:lpstr>
      <vt:lpstr>_108PAGE_4</vt:lpstr>
      <vt:lpstr>'Feb 11'!_10PAGE_1</vt:lpstr>
      <vt:lpstr>'Feb 12'!_11PAGE_1</vt:lpstr>
      <vt:lpstr>'Feb 13'!_12PAGE_1</vt:lpstr>
      <vt:lpstr>'February 08'!_13PAGE_1</vt:lpstr>
      <vt:lpstr>'May 08'!_14PAGE_1</vt:lpstr>
      <vt:lpstr>'May 09'!_15PAGE_1</vt:lpstr>
      <vt:lpstr>'May 10'!_16PAGE_1</vt:lpstr>
      <vt:lpstr>'May 11'!_17PAGE_1</vt:lpstr>
      <vt:lpstr>'May 12'!_18PAGE_1</vt:lpstr>
      <vt:lpstr>'May 13'!_19PAGE_1</vt:lpstr>
      <vt:lpstr>'Aug 07'!_1PAGE_1</vt:lpstr>
      <vt:lpstr>'Nov 07'!_20PAGE_1</vt:lpstr>
      <vt:lpstr>'Nov 08'!_21PAGE_1</vt:lpstr>
      <vt:lpstr>'Nov 09'!_22PAGE_1</vt:lpstr>
      <vt:lpstr>'Nov 10'!_23PAGE_1</vt:lpstr>
      <vt:lpstr>'Nov 11'!_24PAGE_1</vt:lpstr>
      <vt:lpstr>'Nov 12'!_25PAGE_1</vt:lpstr>
      <vt:lpstr>'Aug 15'!_26PAGE_1</vt:lpstr>
      <vt:lpstr>'Aug 16'!_26PAGE_1</vt:lpstr>
      <vt:lpstr>'Aug 17'!_26PAGE_1</vt:lpstr>
      <vt:lpstr>'Aug 18'!_26PAGE_1</vt:lpstr>
      <vt:lpstr>'August 14'!_26PAGE_1</vt:lpstr>
      <vt:lpstr>'Feb 14'!_26PAGE_1</vt:lpstr>
      <vt:lpstr>'Feb 15'!_26PAGE_1</vt:lpstr>
      <vt:lpstr>'Feb 16'!_26PAGE_1</vt:lpstr>
      <vt:lpstr>'Feb 17'!_26PAGE_1</vt:lpstr>
      <vt:lpstr>'Feb 18'!_26PAGE_1</vt:lpstr>
      <vt:lpstr>'Feb 19'!_26PAGE_1</vt:lpstr>
      <vt:lpstr>'May 14'!_26PAGE_1</vt:lpstr>
      <vt:lpstr>'May 15'!_26PAGE_1</vt:lpstr>
      <vt:lpstr>'May 16'!_26PAGE_1</vt:lpstr>
      <vt:lpstr>'May 17'!_26PAGE_1</vt:lpstr>
      <vt:lpstr>'May 18'!_26PAGE_1</vt:lpstr>
      <vt:lpstr>'May 19'!_26PAGE_1</vt:lpstr>
      <vt:lpstr>'Nov 13'!_26PAGE_1</vt:lpstr>
      <vt:lpstr>'Nov 14'!_26PAGE_1</vt:lpstr>
      <vt:lpstr>'Nov 15'!_26PAGE_1</vt:lpstr>
      <vt:lpstr>'Nov 16'!_26PAGE_1</vt:lpstr>
      <vt:lpstr>'Nov 17'!_26PAGE_1</vt:lpstr>
      <vt:lpstr>'Nov 18'!_26PAGE_1</vt:lpstr>
      <vt:lpstr>_27PAGE_1</vt:lpstr>
      <vt:lpstr>'Aug 07'!_28PAGE_2</vt:lpstr>
      <vt:lpstr>'Aug 08'!_29PAGE_2</vt:lpstr>
      <vt:lpstr>'Aug 08'!_2PAGE_1</vt:lpstr>
      <vt:lpstr>'Aug 09'!_30PAGE_2</vt:lpstr>
      <vt:lpstr>'Aug 10'!_31PAGE_2</vt:lpstr>
      <vt:lpstr>'Aug 11'!_32PAGE_2</vt:lpstr>
      <vt:lpstr>'Aug 12'!_33PAGE_2</vt:lpstr>
      <vt:lpstr>'Aug 13'!_34PAGE_2</vt:lpstr>
      <vt:lpstr>'Feb 09'!_35PAGE_2</vt:lpstr>
      <vt:lpstr>'Feb 10'!_36PAGE_2</vt:lpstr>
      <vt:lpstr>'Feb 11'!_37PAGE_2</vt:lpstr>
      <vt:lpstr>'Feb 12'!_38PAGE_2</vt:lpstr>
      <vt:lpstr>'Feb 13'!_39PAGE_2</vt:lpstr>
      <vt:lpstr>'Aug 09'!_3PAGE_1</vt:lpstr>
      <vt:lpstr>'February 08'!_40PAGE_2</vt:lpstr>
      <vt:lpstr>'May 08'!_41PAGE_2</vt:lpstr>
      <vt:lpstr>'May 09'!_42PAGE_2</vt:lpstr>
      <vt:lpstr>'May 10'!_43PAGE_2</vt:lpstr>
      <vt:lpstr>'May 11'!_44PAGE_2</vt:lpstr>
      <vt:lpstr>'May 12'!_45PAGE_2</vt:lpstr>
      <vt:lpstr>'May 13'!_46PAGE_2</vt:lpstr>
      <vt:lpstr>'Nov 07'!_47PAGE_2</vt:lpstr>
      <vt:lpstr>'Nov 08'!_48PAGE_2</vt:lpstr>
      <vt:lpstr>'Nov 09'!_49PAGE_2</vt:lpstr>
      <vt:lpstr>'Aug 10'!_4PAGE_1</vt:lpstr>
      <vt:lpstr>'Nov 10'!_50PAGE_2</vt:lpstr>
      <vt:lpstr>'Nov 11'!_51PAGE_2</vt:lpstr>
      <vt:lpstr>'Nov 12'!_52PAGE_2</vt:lpstr>
      <vt:lpstr>'Aug 15'!_53PAGE_2</vt:lpstr>
      <vt:lpstr>'Aug 16'!_53PAGE_2</vt:lpstr>
      <vt:lpstr>'Aug 17'!_53PAGE_2</vt:lpstr>
      <vt:lpstr>'Aug 18'!_53PAGE_2</vt:lpstr>
      <vt:lpstr>'August 14'!_53PAGE_2</vt:lpstr>
      <vt:lpstr>'Feb 14'!_53PAGE_2</vt:lpstr>
      <vt:lpstr>'Feb 15'!_53PAGE_2</vt:lpstr>
      <vt:lpstr>'Feb 16'!_53PAGE_2</vt:lpstr>
      <vt:lpstr>'Feb 17'!_53PAGE_2</vt:lpstr>
      <vt:lpstr>'Feb 18'!_53PAGE_2</vt:lpstr>
      <vt:lpstr>'Feb 19'!_53PAGE_2</vt:lpstr>
      <vt:lpstr>'May 14'!_53PAGE_2</vt:lpstr>
      <vt:lpstr>'May 15'!_53PAGE_2</vt:lpstr>
      <vt:lpstr>'May 16'!_53PAGE_2</vt:lpstr>
      <vt:lpstr>'May 17'!_53PAGE_2</vt:lpstr>
      <vt:lpstr>'May 18'!_53PAGE_2</vt:lpstr>
      <vt:lpstr>'May 19'!_53PAGE_2</vt:lpstr>
      <vt:lpstr>'Nov 13'!_53PAGE_2</vt:lpstr>
      <vt:lpstr>'Nov 14'!_53PAGE_2</vt:lpstr>
      <vt:lpstr>'Nov 15'!_53PAGE_2</vt:lpstr>
      <vt:lpstr>'Nov 16'!_53PAGE_2</vt:lpstr>
      <vt:lpstr>'Nov 17'!_53PAGE_2</vt:lpstr>
      <vt:lpstr>'Nov 18'!_53PAGE_2</vt:lpstr>
      <vt:lpstr>_54PAGE_2</vt:lpstr>
      <vt:lpstr>'Aug 07'!_55PAGE_3</vt:lpstr>
      <vt:lpstr>'Aug 08'!_56PAGE_3</vt:lpstr>
      <vt:lpstr>'Aug 09'!_57PAGE_3</vt:lpstr>
      <vt:lpstr>'Aug 10'!_58PAGE_3</vt:lpstr>
      <vt:lpstr>'Aug 11'!_59PAGE_3</vt:lpstr>
      <vt:lpstr>'Aug 11'!_5PAGE_1</vt:lpstr>
      <vt:lpstr>'Aug 12'!_60PAGE_3</vt:lpstr>
      <vt:lpstr>'Aug 13'!_61PAGE_3</vt:lpstr>
      <vt:lpstr>'Feb 09'!_62PAGE_3</vt:lpstr>
      <vt:lpstr>'Feb 10'!_63PAGE_3</vt:lpstr>
      <vt:lpstr>'Feb 11'!_64PAGE_3</vt:lpstr>
      <vt:lpstr>'Feb 12'!_65PAGE_3</vt:lpstr>
      <vt:lpstr>'Feb 13'!_66PAGE_3</vt:lpstr>
      <vt:lpstr>'February 08'!_67PAGE_3</vt:lpstr>
      <vt:lpstr>'May 08'!_68PAGE_3</vt:lpstr>
      <vt:lpstr>'May 09'!_69PAGE_3</vt:lpstr>
      <vt:lpstr>'Aug 12'!_6PAGE_1</vt:lpstr>
      <vt:lpstr>'May 10'!_70PAGE_3</vt:lpstr>
      <vt:lpstr>'May 11'!_71PAGE_3</vt:lpstr>
      <vt:lpstr>'May 12'!_72PAGE_3</vt:lpstr>
      <vt:lpstr>'May 13'!_73PAGE_3</vt:lpstr>
      <vt:lpstr>'Nov 07'!_74PAGE_3</vt:lpstr>
      <vt:lpstr>'Nov 08'!_75PAGE_3</vt:lpstr>
      <vt:lpstr>'Nov 09'!_76PAGE_3</vt:lpstr>
      <vt:lpstr>'Nov 10'!_77PAGE_3</vt:lpstr>
      <vt:lpstr>'Nov 11'!_78PAGE_3</vt:lpstr>
      <vt:lpstr>'Nov 12'!_79PAGE_3</vt:lpstr>
      <vt:lpstr>'Aug 13'!_7PAGE_1</vt:lpstr>
      <vt:lpstr>'Aug 15'!_80PAGE_3</vt:lpstr>
      <vt:lpstr>'Aug 16'!_80PAGE_3</vt:lpstr>
      <vt:lpstr>'Aug 17'!_80PAGE_3</vt:lpstr>
      <vt:lpstr>'Aug 18'!_80PAGE_3</vt:lpstr>
      <vt:lpstr>'August 14'!_80PAGE_3</vt:lpstr>
      <vt:lpstr>'Feb 14'!_80PAGE_3</vt:lpstr>
      <vt:lpstr>'Feb 15'!_80PAGE_3</vt:lpstr>
      <vt:lpstr>'Feb 16'!_80PAGE_3</vt:lpstr>
      <vt:lpstr>'Feb 17'!_80PAGE_3</vt:lpstr>
      <vt:lpstr>'Feb 18'!_80PAGE_3</vt:lpstr>
      <vt:lpstr>'Feb 19'!_80PAGE_3</vt:lpstr>
      <vt:lpstr>'May 14'!_80PAGE_3</vt:lpstr>
      <vt:lpstr>'May 15'!_80PAGE_3</vt:lpstr>
      <vt:lpstr>'May 16'!_80PAGE_3</vt:lpstr>
      <vt:lpstr>'May 17'!_80PAGE_3</vt:lpstr>
      <vt:lpstr>'May 18'!_80PAGE_3</vt:lpstr>
      <vt:lpstr>'May 19'!_80PAGE_3</vt:lpstr>
      <vt:lpstr>'Nov 13'!_80PAGE_3</vt:lpstr>
      <vt:lpstr>'Nov 14'!_80PAGE_3</vt:lpstr>
      <vt:lpstr>'Nov 15'!_80PAGE_3</vt:lpstr>
      <vt:lpstr>'Nov 16'!_80PAGE_3</vt:lpstr>
      <vt:lpstr>'Nov 17'!_80PAGE_3</vt:lpstr>
      <vt:lpstr>'Nov 18'!_80PAGE_3</vt:lpstr>
      <vt:lpstr>_81PAGE_3</vt:lpstr>
      <vt:lpstr>'Aug 07'!_82PAGE_4</vt:lpstr>
      <vt:lpstr>'Aug 08'!_83PAGE_4</vt:lpstr>
      <vt:lpstr>'Aug 09'!_84PAGE_4</vt:lpstr>
      <vt:lpstr>'Aug 10'!_85PAGE_4</vt:lpstr>
      <vt:lpstr>'Aug 11'!_86PAGE_4</vt:lpstr>
      <vt:lpstr>'Aug 12'!_87PAGE_4</vt:lpstr>
      <vt:lpstr>'Aug 13'!_88PAGE_4</vt:lpstr>
      <vt:lpstr>'Feb 09'!_89PAGE_4</vt:lpstr>
      <vt:lpstr>'Feb 09'!_8PAGE_1</vt:lpstr>
      <vt:lpstr>'Feb 10'!_90PAGE_4</vt:lpstr>
      <vt:lpstr>'Feb 11'!_91PAGE_4</vt:lpstr>
      <vt:lpstr>'Feb 12'!_92PAGE_4</vt:lpstr>
      <vt:lpstr>'Feb 13'!_93PAGE_4</vt:lpstr>
      <vt:lpstr>'February 08'!_94PAGE_4</vt:lpstr>
      <vt:lpstr>'May 08'!_95PAGE_4</vt:lpstr>
      <vt:lpstr>'May 09'!_96PAGE_4</vt:lpstr>
      <vt:lpstr>'May 10'!_97PAGE_4</vt:lpstr>
      <vt:lpstr>'May 11'!_98PAGE_4</vt:lpstr>
      <vt:lpstr>'May 12'!_99PAGE_4</vt:lpstr>
      <vt:lpstr>'Feb 10'!_9PAGE_1</vt:lpstr>
      <vt:lpstr>'Aug 07'!Print_Area</vt:lpstr>
      <vt:lpstr>'Aug 08'!Print_Area</vt:lpstr>
      <vt:lpstr>'Aug 09'!Print_Area</vt:lpstr>
      <vt:lpstr>'Aug 10'!Print_Area</vt:lpstr>
      <vt:lpstr>'Aug 11'!Print_Area</vt:lpstr>
      <vt:lpstr>'Aug 12'!Print_Area</vt:lpstr>
      <vt:lpstr>'Aug 13'!Print_Area</vt:lpstr>
      <vt:lpstr>'Aug 15'!Print_Area</vt:lpstr>
      <vt:lpstr>'Aug 16'!Print_Area</vt:lpstr>
      <vt:lpstr>'Aug 17'!Print_Area</vt:lpstr>
      <vt:lpstr>'Aug 18'!Print_Area</vt:lpstr>
      <vt:lpstr>'August 14'!Print_Area</vt:lpstr>
      <vt:lpstr>'Feb 09'!Print_Area</vt:lpstr>
      <vt:lpstr>'Feb 10'!Print_Area</vt:lpstr>
      <vt:lpstr>'Feb 11'!Print_Area</vt:lpstr>
      <vt:lpstr>'Feb 12'!Print_Area</vt:lpstr>
      <vt:lpstr>'Feb 13'!Print_Area</vt:lpstr>
      <vt:lpstr>'Feb 14'!Print_Area</vt:lpstr>
      <vt:lpstr>'Feb 15'!Print_Area</vt:lpstr>
      <vt:lpstr>'Feb 16'!Print_Area</vt:lpstr>
      <vt:lpstr>'Feb 17'!Print_Area</vt:lpstr>
      <vt:lpstr>'Feb 18'!Print_Area</vt:lpstr>
      <vt:lpstr>'Feb 19'!Print_Area</vt:lpstr>
      <vt:lpstr>'February 08'!Print_Area</vt:lpstr>
      <vt:lpstr>'May 07'!Print_Area</vt:lpstr>
      <vt:lpstr>'May 08'!Print_Area</vt:lpstr>
      <vt:lpstr>'May 09'!Print_Area</vt:lpstr>
      <vt:lpstr>'May 10'!Print_Area</vt:lpstr>
      <vt:lpstr>'May 11'!Print_Area</vt:lpstr>
      <vt:lpstr>'May 12'!Print_Area</vt:lpstr>
      <vt:lpstr>'May 13'!Print_Area</vt:lpstr>
      <vt:lpstr>'May 14'!Print_Area</vt:lpstr>
      <vt:lpstr>'May 15'!Print_Area</vt:lpstr>
      <vt:lpstr>'May 16'!Print_Area</vt:lpstr>
      <vt:lpstr>'May 17'!Print_Area</vt:lpstr>
      <vt:lpstr>'May 18'!Print_Area</vt:lpstr>
      <vt:lpstr>'May 19'!Print_Area</vt:lpstr>
      <vt:lpstr>'Nov 07'!Print_Area</vt:lpstr>
      <vt:lpstr>'Nov 08'!Print_Area</vt:lpstr>
      <vt:lpstr>'Nov 09'!Print_Area</vt:lpstr>
      <vt:lpstr>'Nov 10'!Print_Area</vt:lpstr>
      <vt:lpstr>'Nov 11'!Print_Area</vt:lpstr>
      <vt:lpstr>'Nov 12'!Print_Area</vt:lpstr>
      <vt:lpstr>'Nov 13'!Print_Area</vt:lpstr>
      <vt:lpstr>'Nov 14'!Print_Area</vt:lpstr>
      <vt:lpstr>'Nov 15'!Print_Area</vt:lpstr>
      <vt:lpstr>'Nov 16'!Print_Area</vt:lpstr>
      <vt:lpstr>'Nov 17'!Print_Area</vt:lpstr>
      <vt:lpstr>'Nov 18'!Print_Area</vt:lpstr>
      <vt:lpstr>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2019-06-18T07:57:38Z</cp:lastPrinted>
  <dcterms:created xsi:type="dcterms:W3CDTF">2003-11-18T07:58:35Z</dcterms:created>
  <dcterms:modified xsi:type="dcterms:W3CDTF">2019-06-18T08:55:10Z</dcterms:modified>
</cp:coreProperties>
</file>